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 Frankis\Desktop\Clerk - General\Monthly Budget Reports\2023-24\November 2023\"/>
    </mc:Choice>
  </mc:AlternateContent>
  <xr:revisionPtr revIDLastSave="0" documentId="13_ncr:1_{CC22AD99-5306-40E5-B8C7-05925E3405BD}" xr6:coauthVersionLast="47" xr6:coauthVersionMax="47" xr10:uidLastSave="{00000000-0000-0000-0000-000000000000}"/>
  <bookViews>
    <workbookView xWindow="-108" yWindow="-108" windowWidth="23256" windowHeight="12576" xr2:uid="{F63DA869-7912-479C-B5E2-5A77D9B5B4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5" i="1" l="1"/>
  <c r="G84" i="1"/>
  <c r="G85" i="1" s="1"/>
  <c r="D41" i="1"/>
  <c r="F85" i="1"/>
  <c r="C7" i="1"/>
  <c r="D90" i="1"/>
  <c r="D37" i="1"/>
  <c r="G10" i="1"/>
  <c r="C117" i="1" s="1"/>
  <c r="D57" i="1"/>
  <c r="F37" i="1"/>
  <c r="D43" i="1"/>
  <c r="F43" i="1"/>
  <c r="H12" i="1"/>
  <c r="G12" i="1"/>
  <c r="G83" i="1"/>
  <c r="G82" i="1"/>
  <c r="G81" i="1"/>
  <c r="G80" i="1"/>
  <c r="G79" i="1"/>
  <c r="G78" i="1"/>
  <c r="G77" i="1"/>
  <c r="G76" i="1"/>
  <c r="G75" i="1"/>
  <c r="G74" i="1"/>
  <c r="G73" i="1"/>
  <c r="G34" i="1"/>
  <c r="G35" i="1"/>
  <c r="G39" i="1"/>
  <c r="G40" i="1"/>
  <c r="I40" i="1" s="1"/>
  <c r="G44" i="1"/>
  <c r="G45" i="1"/>
  <c r="G48" i="1"/>
  <c r="G49" i="1"/>
  <c r="G50" i="1"/>
  <c r="G51" i="1"/>
  <c r="G53" i="1"/>
  <c r="G56" i="1"/>
  <c r="G58" i="1"/>
  <c r="G59" i="1"/>
  <c r="G60" i="1"/>
  <c r="G61" i="1"/>
  <c r="G62" i="1"/>
  <c r="G63" i="1"/>
  <c r="E40" i="1"/>
  <c r="G41" i="1"/>
  <c r="D19" i="1"/>
  <c r="G72" i="1"/>
  <c r="G71" i="1"/>
  <c r="D36" i="1"/>
  <c r="G36" i="1" s="1"/>
  <c r="D54" i="1"/>
  <c r="G54" i="1" s="1"/>
  <c r="H10" i="1" l="1"/>
  <c r="G37" i="1"/>
  <c r="G43" i="1"/>
  <c r="E62" i="1"/>
  <c r="D47" i="1"/>
  <c r="G47" i="1" s="1"/>
  <c r="G14" i="1"/>
  <c r="C12" i="1"/>
  <c r="C8" i="1"/>
  <c r="C48" i="1"/>
  <c r="C52" i="1"/>
  <c r="D46" i="1" l="1"/>
  <c r="D38" i="1"/>
  <c r="D33" i="1"/>
  <c r="G33" i="1" s="1"/>
  <c r="E45" i="1"/>
  <c r="G57" i="1"/>
  <c r="E38" i="1" l="1"/>
  <c r="G38" i="1"/>
  <c r="E46" i="1"/>
  <c r="G46" i="1"/>
  <c r="D92" i="1"/>
  <c r="D93" i="1"/>
  <c r="C121" i="1"/>
  <c r="D55" i="1"/>
  <c r="G55" i="1" s="1"/>
  <c r="D52" i="1" l="1"/>
  <c r="G52" i="1" s="1"/>
  <c r="C9" i="1" l="1"/>
  <c r="C19" i="1" s="1"/>
  <c r="D96" i="1" l="1"/>
  <c r="D98" i="1"/>
  <c r="D42" i="1"/>
  <c r="G42" i="1" s="1"/>
  <c r="D100" i="1" l="1"/>
  <c r="C118" i="1" s="1"/>
  <c r="E57" i="1" l="1"/>
  <c r="E54" i="1" l="1"/>
  <c r="E49" i="1" l="1"/>
  <c r="C36" i="1"/>
  <c r="F65" i="1" l="1"/>
  <c r="E61" i="1"/>
  <c r="I61" i="1" s="1"/>
  <c r="E47" i="1" l="1"/>
  <c r="E44" i="1" l="1"/>
  <c r="E36" i="1" l="1"/>
  <c r="I36" i="1" s="1"/>
  <c r="I38" i="1" l="1"/>
  <c r="I44" i="1"/>
  <c r="I45" i="1"/>
  <c r="I46" i="1"/>
  <c r="I47" i="1"/>
  <c r="I48" i="1"/>
  <c r="I49" i="1"/>
  <c r="I53" i="1"/>
  <c r="I54" i="1"/>
  <c r="I57" i="1"/>
  <c r="I58" i="1"/>
  <c r="I60" i="1"/>
  <c r="C39" i="1" l="1"/>
  <c r="E39" i="1" s="1"/>
  <c r="E35" i="1"/>
  <c r="I35" i="1" s="1"/>
  <c r="C65" i="1" l="1"/>
  <c r="I39" i="1"/>
  <c r="E52" i="1"/>
  <c r="E55" i="1"/>
  <c r="I55" i="1" s="1"/>
  <c r="E50" i="1"/>
  <c r="I50" i="1" s="1"/>
  <c r="D65" i="1" l="1"/>
  <c r="G8" i="1" s="1"/>
  <c r="G19" i="1" s="1"/>
  <c r="E51" i="1" l="1"/>
  <c r="I51" i="1" s="1"/>
  <c r="E42" i="1"/>
  <c r="I42" i="1" s="1"/>
  <c r="E43" i="1"/>
  <c r="I43" i="1" s="1"/>
  <c r="E41" i="1"/>
  <c r="I41" i="1" s="1"/>
  <c r="E37" i="1"/>
  <c r="I37" i="1" s="1"/>
  <c r="E34" i="1"/>
  <c r="I34" i="1" s="1"/>
  <c r="E33" i="1"/>
  <c r="I33" i="1" s="1"/>
  <c r="C28" i="1"/>
  <c r="G25" i="1" l="1"/>
  <c r="D110" i="1"/>
  <c r="G65" i="1"/>
  <c r="E65" i="1"/>
  <c r="C112" i="1" s="1"/>
  <c r="D125" i="1" s="1"/>
  <c r="C20" i="1"/>
  <c r="I65" i="1" l="1"/>
  <c r="H8" i="1"/>
  <c r="H19" i="1" s="1"/>
  <c r="D20" i="1" s="1"/>
  <c r="D126" i="1"/>
  <c r="G26" i="1"/>
  <c r="G27" i="1" s="1"/>
</calcChain>
</file>

<file path=xl/sharedStrings.xml><?xml version="1.0" encoding="utf-8"?>
<sst xmlns="http://schemas.openxmlformats.org/spreadsheetml/2006/main" count="129" uniqueCount="100">
  <si>
    <t>Budget &amp; Precept Report</t>
  </si>
  <si>
    <t>Income:</t>
  </si>
  <si>
    <t>Precept</t>
  </si>
  <si>
    <t>Expenditure:</t>
  </si>
  <si>
    <t>Financial Statement</t>
  </si>
  <si>
    <t>Total</t>
  </si>
  <si>
    <t>Bank Statements</t>
  </si>
  <si>
    <t>account no: 20331335</t>
  </si>
  <si>
    <t>account no: 20331351</t>
  </si>
  <si>
    <t>Total funds held</t>
  </si>
  <si>
    <t>Precept Statement</t>
  </si>
  <si>
    <t>Budget</t>
  </si>
  <si>
    <t>Balance</t>
  </si>
  <si>
    <t>Allotments</t>
  </si>
  <si>
    <t>Professional Fees</t>
  </si>
  <si>
    <t>Insurance</t>
  </si>
  <si>
    <t>Bank Charges</t>
  </si>
  <si>
    <t>Clerk's Salary</t>
  </si>
  <si>
    <t>Clerk's Mileage</t>
  </si>
  <si>
    <t>Clerk's Pension</t>
  </si>
  <si>
    <t>Postage, telecoms etc</t>
  </si>
  <si>
    <t>Subscriptions</t>
  </si>
  <si>
    <t>Consumables</t>
  </si>
  <si>
    <t>Software Licences</t>
  </si>
  <si>
    <t>Training</t>
  </si>
  <si>
    <t xml:space="preserve">Web fees </t>
  </si>
  <si>
    <t>Newsletter</t>
  </si>
  <si>
    <t>Data Protection</t>
  </si>
  <si>
    <t>Grounds Maintenance</t>
  </si>
  <si>
    <t>Footpath Assistant</t>
  </si>
  <si>
    <t>Equipment repair/main.</t>
  </si>
  <si>
    <t>Waste management</t>
  </si>
  <si>
    <t>Street Lighting</t>
  </si>
  <si>
    <t>Tree Surgery</t>
  </si>
  <si>
    <t>Info Box</t>
  </si>
  <si>
    <t>Section 19(3) LGA 1972</t>
  </si>
  <si>
    <t>Payment to CIO</t>
  </si>
  <si>
    <t>Net</t>
  </si>
  <si>
    <t>VAT</t>
  </si>
  <si>
    <t>Reserve Accounts</t>
  </si>
  <si>
    <t>CIL Reserve (earmarked)</t>
  </si>
  <si>
    <t>Transfers to/from reserve accounts</t>
  </si>
  <si>
    <t>CODDENHAM PARISH COUNCIL</t>
  </si>
  <si>
    <t xml:space="preserve">General Reserve </t>
  </si>
  <si>
    <t>General Reserve</t>
  </si>
  <si>
    <t>Allotment Rent</t>
  </si>
  <si>
    <t xml:space="preserve">Forecast Future </t>
  </si>
  <si>
    <t>Spend</t>
  </si>
  <si>
    <t>Forecast Full</t>
  </si>
  <si>
    <t>Year Spend</t>
  </si>
  <si>
    <t>Variance to</t>
  </si>
  <si>
    <t>To Date</t>
  </si>
  <si>
    <t>Full Year</t>
  </si>
  <si>
    <t>Forecast</t>
  </si>
  <si>
    <t>to Date</t>
  </si>
  <si>
    <t>Spend to Date</t>
  </si>
  <si>
    <t>Churchyard Maintenance</t>
  </si>
  <si>
    <t>Bank Reconciliation</t>
  </si>
  <si>
    <t>Total money held at bank</t>
  </si>
  <si>
    <t>Cash book balance</t>
  </si>
  <si>
    <t>HMRC VAT Refund</t>
  </si>
  <si>
    <t xml:space="preserve">PWLB </t>
  </si>
  <si>
    <t>Burstall Parish Council</t>
  </si>
  <si>
    <t>S137</t>
  </si>
  <si>
    <t>Tree Works (earmarked)</t>
  </si>
  <si>
    <t>PWLB Contingency (earmarked)</t>
  </si>
  <si>
    <t>Funds Held -</t>
  </si>
  <si>
    <t>PWLB Contingent Fund</t>
  </si>
  <si>
    <t>Election Costs</t>
  </si>
  <si>
    <t>Hall Rental (for CPC meetings)</t>
  </si>
  <si>
    <t>Barclaycard Cashback</t>
  </si>
  <si>
    <t>MSDC Cllr 22/23 grant</t>
  </si>
  <si>
    <t>Barclaycard</t>
  </si>
  <si>
    <t>Bank Interest</t>
  </si>
  <si>
    <t>Trf from Reserves</t>
  </si>
  <si>
    <t>Tree Works</t>
  </si>
  <si>
    <t>PWLB Repayment</t>
  </si>
  <si>
    <t>min. no. 23/24 537(iii) tfr from MSDC Locality Budget Reserve to 2023/24 General Fund</t>
  </si>
  <si>
    <t>min. no. 23/24 537(iv) tfr from PWLB Contingency Reserve to 2023/24 General Fund</t>
  </si>
  <si>
    <t>Street Lighting (earmarked)</t>
  </si>
  <si>
    <t>min. no. 23/24 537(v) tfr from Tree Works Reserve to the 2023/24 General Fund</t>
  </si>
  <si>
    <t xml:space="preserve">Tree Works </t>
  </si>
  <si>
    <t>trf ex reserve acct</t>
  </si>
  <si>
    <t>CiL Receipts</t>
  </si>
  <si>
    <t>MSDC Pride in Place Grant</t>
  </si>
  <si>
    <t>Clerk's Home Office expenses</t>
  </si>
  <si>
    <t>CIL Reserve</t>
  </si>
  <si>
    <t xml:space="preserve">November  Payments </t>
  </si>
  <si>
    <t>Backdated Salary - Ms M Burt</t>
  </si>
  <si>
    <t>Stationery - Ms M Burt</t>
  </si>
  <si>
    <t>Mobile phone cover - Ms M Burt</t>
  </si>
  <si>
    <t xml:space="preserve">SALC - Training sessions x 3 </t>
  </si>
  <si>
    <t>HMRC - Tax</t>
  </si>
  <si>
    <t>Backdated Salary - Mrs S Frankis</t>
  </si>
  <si>
    <t>October Salary -Ms M Burt</t>
  </si>
  <si>
    <t>November Salary - Ms M Burt</t>
  </si>
  <si>
    <t>Cllr D Burton - Allotment Water Butts</t>
  </si>
  <si>
    <t>The Coddenham Centre - CIO Payment</t>
  </si>
  <si>
    <t>Balance as at 30 November 2023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</si>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</sst>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5" formatCode="[$-809]dd\ mmmm\ yyyy;@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4" fontId="0" fillId="2" borderId="0" xfId="0" applyNumberFormat="1" applyFill="1"/>
    <xf numFmtId="0" fontId="1" fillId="0" borderId="0" xfId="0" applyFont="1"/>
    <xf numFmtId="0" fontId="2" fillId="0" borderId="0" xfId="0" applyFont="1"/>
    <xf numFmtId="17" fontId="3" fillId="0" borderId="0" xfId="0" applyNumberFormat="1" applyFont="1"/>
    <xf numFmtId="0" fontId="4" fillId="0" borderId="0" xfId="0" applyFont="1"/>
    <xf numFmtId="165" fontId="5" fillId="0" borderId="0" xfId="0" applyNumberFormat="1" applyFont="1"/>
    <xf numFmtId="164" fontId="5" fillId="0" borderId="0" xfId="0" applyNumberFormat="1" applyFont="1"/>
    <xf numFmtId="0" fontId="6" fillId="0" borderId="0" xfId="0" applyFont="1"/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/>
    <xf numFmtId="4" fontId="4" fillId="0" borderId="0" xfId="0" applyNumberFormat="1" applyFont="1"/>
    <xf numFmtId="4" fontId="4" fillId="0" borderId="5" xfId="0" applyNumberFormat="1" applyFont="1" applyBorder="1"/>
    <xf numFmtId="0" fontId="4" fillId="0" borderId="0" xfId="0" applyFont="1" applyAlignment="1">
      <alignment horizontal="left"/>
    </xf>
    <xf numFmtId="4" fontId="5" fillId="0" borderId="0" xfId="0" applyNumberFormat="1" applyFont="1"/>
    <xf numFmtId="4" fontId="5" fillId="0" borderId="5" xfId="0" applyNumberFormat="1" applyFont="1" applyBorder="1"/>
    <xf numFmtId="0" fontId="5" fillId="0" borderId="6" xfId="0" applyFont="1" applyBorder="1"/>
    <xf numFmtId="0" fontId="4" fillId="0" borderId="7" xfId="0" applyFont="1" applyBorder="1"/>
    <xf numFmtId="4" fontId="5" fillId="0" borderId="7" xfId="0" applyNumberFormat="1" applyFont="1" applyBorder="1"/>
    <xf numFmtId="0" fontId="4" fillId="0" borderId="8" xfId="0" applyFont="1" applyBorder="1"/>
    <xf numFmtId="0" fontId="5" fillId="0" borderId="2" xfId="0" applyFont="1" applyBorder="1"/>
    <xf numFmtId="0" fontId="7" fillId="0" borderId="1" xfId="0" applyFont="1" applyBorder="1"/>
    <xf numFmtId="0" fontId="4" fillId="0" borderId="5" xfId="0" applyFont="1" applyBorder="1"/>
    <xf numFmtId="0" fontId="7" fillId="0" borderId="0" xfId="0" applyFont="1"/>
    <xf numFmtId="4" fontId="7" fillId="0" borderId="5" xfId="0" applyNumberFormat="1" applyFont="1" applyBorder="1"/>
    <xf numFmtId="4" fontId="4" fillId="0" borderId="7" xfId="0" applyNumberFormat="1" applyFont="1" applyBorder="1"/>
    <xf numFmtId="4" fontId="4" fillId="0" borderId="2" xfId="0" applyNumberFormat="1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14" fontId="4" fillId="0" borderId="4" xfId="0" applyNumberFormat="1" applyFont="1" applyBorder="1"/>
    <xf numFmtId="0" fontId="5" fillId="0" borderId="1" xfId="0" applyFont="1" applyBorder="1"/>
    <xf numFmtId="4" fontId="5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3" fontId="4" fillId="0" borderId="0" xfId="1" applyFont="1"/>
    <xf numFmtId="43" fontId="4" fillId="0" borderId="5" xfId="1" applyFont="1" applyBorder="1"/>
    <xf numFmtId="43" fontId="5" fillId="0" borderId="7" xfId="1" applyFont="1" applyBorder="1"/>
    <xf numFmtId="2" fontId="4" fillId="0" borderId="0" xfId="0" applyNumberFormat="1" applyFont="1"/>
    <xf numFmtId="2" fontId="4" fillId="0" borderId="5" xfId="0" applyNumberFormat="1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40" fontId="4" fillId="0" borderId="5" xfId="0" applyNumberFormat="1" applyFont="1" applyBorder="1"/>
    <xf numFmtId="3" fontId="0" fillId="0" borderId="0" xfId="0" applyNumberFormat="1"/>
    <xf numFmtId="0" fontId="4" fillId="0" borderId="4" xfId="0" applyFont="1" applyBorder="1" applyAlignment="1">
      <alignment horizontal="left"/>
    </xf>
    <xf numFmtId="4" fontId="9" fillId="0" borderId="5" xfId="0" applyNumberFormat="1" applyFont="1" applyBorder="1"/>
    <xf numFmtId="40" fontId="5" fillId="0" borderId="5" xfId="0" applyNumberFormat="1" applyFont="1" applyBorder="1"/>
    <xf numFmtId="0" fontId="4" fillId="0" borderId="6" xfId="0" applyFont="1" applyBorder="1" applyAlignment="1">
      <alignment horizontal="left"/>
    </xf>
    <xf numFmtId="40" fontId="5" fillId="0" borderId="8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F40CF-59C5-4BFA-8F0A-06C83C9867FF}">
  <sheetPr>
    <pageSetUpPr fitToPage="1"/>
  </sheetPr>
  <dimension ref="A1:Q127"/>
  <sheetViews>
    <sheetView tabSelected="1" topLeftCell="A50" zoomScaleNormal="100" workbookViewId="0">
      <selection activeCell="G84" sqref="G84"/>
    </sheetView>
  </sheetViews>
  <sheetFormatPr defaultColWidth="8.88671875" defaultRowHeight="14.4" x14ac:dyDescent="0.3"/>
  <cols>
    <col min="1" max="1" width="10.6640625" customWidth="1"/>
    <col min="2" max="2" width="13.88671875" customWidth="1"/>
    <col min="3" max="3" width="13.44140625" customWidth="1"/>
    <col min="4" max="4" width="15.109375" customWidth="1"/>
    <col min="5" max="5" width="10.33203125" customWidth="1"/>
    <col min="6" max="6" width="22.6640625" customWidth="1"/>
    <col min="7" max="7" width="18.33203125" customWidth="1"/>
    <col min="8" max="8" width="12.109375" customWidth="1"/>
    <col min="9" max="9" width="11.33203125" customWidth="1"/>
  </cols>
  <sheetData>
    <row r="1" spans="1:17" ht="15.6" x14ac:dyDescent="0.3">
      <c r="A1" s="6" t="s">
        <v>42</v>
      </c>
      <c r="B1" s="6"/>
      <c r="C1" s="6"/>
      <c r="D1" s="7"/>
      <c r="E1" s="8"/>
      <c r="F1" s="8"/>
      <c r="G1" s="9">
        <v>45260</v>
      </c>
      <c r="H1" s="10"/>
      <c r="I1" s="8"/>
      <c r="J1" s="8"/>
    </row>
    <row r="2" spans="1:17" ht="15.6" x14ac:dyDescent="0.3">
      <c r="A2" s="6" t="s">
        <v>0</v>
      </c>
      <c r="B2" s="8"/>
      <c r="C2" s="8"/>
      <c r="D2" s="7"/>
      <c r="E2" s="11"/>
      <c r="F2" s="8"/>
      <c r="G2" s="8"/>
      <c r="H2" s="8"/>
      <c r="I2" s="8"/>
      <c r="J2" s="8"/>
    </row>
    <row r="3" spans="1:17" ht="16.2" thickBot="1" x14ac:dyDescent="0.35">
      <c r="A3" s="8"/>
      <c r="B3" s="8"/>
      <c r="C3" s="11"/>
      <c r="D3" s="11"/>
      <c r="E3" s="8"/>
      <c r="F3" s="8"/>
      <c r="G3" s="8"/>
      <c r="H3" s="8"/>
      <c r="I3" s="8"/>
      <c r="J3" s="8"/>
    </row>
    <row r="4" spans="1:17" ht="16.2" thickTop="1" x14ac:dyDescent="0.3">
      <c r="A4" s="12" t="s">
        <v>4</v>
      </c>
      <c r="B4" s="13"/>
      <c r="C4" s="13"/>
      <c r="D4" s="13"/>
      <c r="E4" s="13"/>
      <c r="F4" s="13"/>
      <c r="G4" s="13"/>
      <c r="H4" s="14"/>
      <c r="I4" s="8"/>
      <c r="J4" s="8"/>
    </row>
    <row r="5" spans="1:17" ht="15.6" x14ac:dyDescent="0.3">
      <c r="A5" s="15"/>
      <c r="B5" s="8"/>
      <c r="C5" s="8"/>
      <c r="D5" s="16" t="s">
        <v>52</v>
      </c>
      <c r="E5" s="8"/>
      <c r="F5" s="8"/>
      <c r="G5" s="8"/>
      <c r="H5" s="17" t="s">
        <v>52</v>
      </c>
      <c r="I5" s="8"/>
      <c r="J5" s="8"/>
    </row>
    <row r="6" spans="1:17" ht="15.6" x14ac:dyDescent="0.3">
      <c r="A6" s="18" t="s">
        <v>1</v>
      </c>
      <c r="B6" s="8"/>
      <c r="C6" s="16" t="s">
        <v>51</v>
      </c>
      <c r="D6" s="16" t="s">
        <v>53</v>
      </c>
      <c r="E6" s="8"/>
      <c r="F6" s="19" t="s">
        <v>3</v>
      </c>
      <c r="G6" s="16" t="s">
        <v>51</v>
      </c>
      <c r="H6" s="17" t="s">
        <v>53</v>
      </c>
      <c r="I6" s="8"/>
      <c r="J6" s="8"/>
    </row>
    <row r="7" spans="1:17" ht="15.6" x14ac:dyDescent="0.3">
      <c r="A7" s="15" t="s">
        <v>39</v>
      </c>
      <c r="B7" s="8"/>
      <c r="C7" s="20">
        <f>SUM(24950.46+17730.49-117.77-3424.08-3320-202.79-275.15-94.44)</f>
        <v>35246.719999999994</v>
      </c>
      <c r="D7" s="20">
        <v>35819.1</v>
      </c>
      <c r="E7" s="8"/>
      <c r="F7" s="8"/>
      <c r="G7" s="20"/>
      <c r="H7" s="21"/>
      <c r="I7" s="8"/>
      <c r="J7" s="8"/>
    </row>
    <row r="8" spans="1:17" ht="15.6" x14ac:dyDescent="0.3">
      <c r="A8" s="15" t="s">
        <v>2</v>
      </c>
      <c r="B8" s="8"/>
      <c r="C8" s="20">
        <f>SUM(16714.38+16714.38)</f>
        <v>33428.76</v>
      </c>
      <c r="D8" s="20">
        <v>33428.76</v>
      </c>
      <c r="E8" s="8"/>
      <c r="F8" s="8" t="s">
        <v>2</v>
      </c>
      <c r="G8" s="20">
        <f>D65</f>
        <v>20931.61</v>
      </c>
      <c r="H8" s="21">
        <f>G65</f>
        <v>33831.599999999999</v>
      </c>
      <c r="I8" s="8"/>
      <c r="J8" s="8"/>
    </row>
    <row r="9" spans="1:17" ht="15.6" x14ac:dyDescent="0.3">
      <c r="A9" s="15" t="s">
        <v>45</v>
      </c>
      <c r="B9" s="8"/>
      <c r="C9" s="20">
        <f>SUM(105+7.5+15)</f>
        <v>127.5</v>
      </c>
      <c r="D9" s="20">
        <v>127.5</v>
      </c>
      <c r="E9" s="8"/>
      <c r="F9" s="8"/>
      <c r="G9" s="20"/>
      <c r="H9" s="21"/>
      <c r="I9" s="8"/>
      <c r="J9" s="8"/>
    </row>
    <row r="10" spans="1:17" ht="15.6" x14ac:dyDescent="0.3">
      <c r="A10" s="15" t="s">
        <v>60</v>
      </c>
      <c r="B10" s="8"/>
      <c r="C10" s="20">
        <v>612.07000000000005</v>
      </c>
      <c r="D10" s="20">
        <v>612.07000000000005</v>
      </c>
      <c r="E10" s="8"/>
      <c r="F10" s="8" t="s">
        <v>38</v>
      </c>
      <c r="G10" s="20">
        <f>SUM(42.16+143.84+34.19+2.75+144.75+562.75+2.75+40.56+55.04+2+0.75+2.7+2.6+18+18.87)</f>
        <v>1073.7099999999998</v>
      </c>
      <c r="H10" s="45">
        <f>G10</f>
        <v>1073.7099999999998</v>
      </c>
      <c r="I10" s="8"/>
      <c r="J10" s="8"/>
    </row>
    <row r="11" spans="1:17" ht="15.6" x14ac:dyDescent="0.3">
      <c r="A11" s="15" t="s">
        <v>62</v>
      </c>
      <c r="B11" s="8"/>
      <c r="C11" s="20">
        <v>33.17</v>
      </c>
      <c r="D11" s="20">
        <v>33.17</v>
      </c>
      <c r="E11" s="8"/>
      <c r="F11" s="22"/>
      <c r="G11" s="20"/>
      <c r="H11" s="21"/>
      <c r="I11" s="8"/>
      <c r="J11" s="8"/>
      <c r="Q11" s="5"/>
    </row>
    <row r="12" spans="1:17" ht="15.6" x14ac:dyDescent="0.3">
      <c r="A12" s="15" t="s">
        <v>73</v>
      </c>
      <c r="B12" s="8"/>
      <c r="C12" s="20">
        <f>SUM(146.48+177.65)</f>
        <v>324.13</v>
      </c>
      <c r="D12" s="20">
        <v>324.13</v>
      </c>
      <c r="E12" s="8"/>
      <c r="F12" s="8" t="s">
        <v>70</v>
      </c>
      <c r="G12" s="20">
        <f>-3-6</f>
        <v>-9</v>
      </c>
      <c r="H12" s="21">
        <f>-3-6</f>
        <v>-9</v>
      </c>
      <c r="I12" s="8"/>
      <c r="J12" s="8"/>
    </row>
    <row r="13" spans="1:17" ht="15.6" x14ac:dyDescent="0.3">
      <c r="A13" s="15" t="s">
        <v>74</v>
      </c>
      <c r="B13" s="8"/>
      <c r="C13" s="20">
        <v>117.77</v>
      </c>
      <c r="D13" s="20">
        <v>117.77</v>
      </c>
      <c r="E13" s="8"/>
      <c r="F13" s="8" t="s">
        <v>71</v>
      </c>
      <c r="G13" s="20">
        <v>130.4</v>
      </c>
      <c r="H13" s="21">
        <v>130.4</v>
      </c>
      <c r="I13" s="8"/>
      <c r="J13" s="8"/>
    </row>
    <row r="14" spans="1:17" ht="15.6" x14ac:dyDescent="0.3">
      <c r="A14" s="15" t="s">
        <v>74</v>
      </c>
      <c r="B14" s="8"/>
      <c r="C14" s="20">
        <v>3320</v>
      </c>
      <c r="D14" s="20">
        <v>3320</v>
      </c>
      <c r="E14" s="8"/>
      <c r="F14" s="8" t="s">
        <v>75</v>
      </c>
      <c r="G14" s="20">
        <f>SUM(1900+3320)</f>
        <v>5220</v>
      </c>
      <c r="H14" s="21">
        <v>3320</v>
      </c>
      <c r="I14" s="8"/>
      <c r="J14" s="8"/>
    </row>
    <row r="15" spans="1:17" ht="15.6" x14ac:dyDescent="0.3">
      <c r="A15" s="15" t="s">
        <v>74</v>
      </c>
      <c r="B15" s="8"/>
      <c r="C15" s="20">
        <v>3424.08</v>
      </c>
      <c r="D15" s="20">
        <v>3424.08</v>
      </c>
      <c r="E15" s="8"/>
      <c r="F15" s="8" t="s">
        <v>76</v>
      </c>
      <c r="G15" s="20">
        <v>3424.08</v>
      </c>
      <c r="H15" s="21">
        <v>3424.08</v>
      </c>
      <c r="I15" s="8"/>
      <c r="J15" s="8"/>
    </row>
    <row r="16" spans="1:17" ht="15.6" x14ac:dyDescent="0.3">
      <c r="A16" s="15" t="s">
        <v>83</v>
      </c>
      <c r="B16" s="8"/>
      <c r="C16" s="20">
        <v>7271.62</v>
      </c>
      <c r="D16" s="20">
        <v>7271.62</v>
      </c>
      <c r="E16" s="8"/>
      <c r="F16" s="8"/>
      <c r="G16" s="20"/>
      <c r="H16" s="21"/>
      <c r="I16" s="8"/>
      <c r="J16" s="8"/>
    </row>
    <row r="17" spans="1:10" ht="15.6" x14ac:dyDescent="0.3">
      <c r="A17" s="15" t="s">
        <v>84</v>
      </c>
      <c r="B17" s="8"/>
      <c r="C17" s="20">
        <v>250</v>
      </c>
      <c r="D17" s="20">
        <v>250</v>
      </c>
      <c r="E17" s="8"/>
      <c r="F17" s="8"/>
      <c r="G17" s="20"/>
      <c r="H17" s="21"/>
      <c r="I17" s="8"/>
      <c r="J17" s="8"/>
    </row>
    <row r="18" spans="1:10" ht="15.6" x14ac:dyDescent="0.3">
      <c r="A18" s="15"/>
      <c r="B18" s="8"/>
      <c r="C18" s="20"/>
      <c r="D18" s="20"/>
      <c r="E18" s="8"/>
      <c r="F18" s="8"/>
      <c r="G18" s="20"/>
      <c r="H18" s="21"/>
      <c r="I18" s="8"/>
      <c r="J18" s="8"/>
    </row>
    <row r="19" spans="1:10" ht="15.6" x14ac:dyDescent="0.3">
      <c r="A19" s="18" t="s">
        <v>5</v>
      </c>
      <c r="B19" s="8"/>
      <c r="C19" s="23">
        <f>SUM(C7:C17)</f>
        <v>84155.82</v>
      </c>
      <c r="D19" s="23">
        <f>SUM(D7:D17)</f>
        <v>84728.200000000012</v>
      </c>
      <c r="E19" s="8"/>
      <c r="F19" s="19" t="s">
        <v>5</v>
      </c>
      <c r="G19" s="23">
        <f>SUM(G8:G18)</f>
        <v>30770.800000000003</v>
      </c>
      <c r="H19" s="24">
        <f>SUM(H7:H15)</f>
        <v>41770.79</v>
      </c>
      <c r="I19" s="8"/>
      <c r="J19" s="8"/>
    </row>
    <row r="20" spans="1:10" ht="16.2" thickBot="1" x14ac:dyDescent="0.35">
      <c r="A20" s="25" t="s">
        <v>12</v>
      </c>
      <c r="B20" s="26"/>
      <c r="C20" s="27">
        <f>SUM(C19-G19)</f>
        <v>53385.020000000004</v>
      </c>
      <c r="D20" s="27">
        <f>SUM(D19-H19)</f>
        <v>42957.410000000011</v>
      </c>
      <c r="E20" s="26"/>
      <c r="F20" s="26"/>
      <c r="G20" s="26"/>
      <c r="H20" s="28"/>
      <c r="I20" s="8"/>
      <c r="J20" s="8"/>
    </row>
    <row r="21" spans="1:10" ht="16.8" thickTop="1" thickBot="1" x14ac:dyDescent="0.35">
      <c r="A21" s="29"/>
      <c r="B21" s="8"/>
      <c r="C21" s="23"/>
      <c r="D21" s="20"/>
      <c r="E21" s="8"/>
      <c r="F21" s="8"/>
      <c r="G21" s="8"/>
      <c r="H21" s="8"/>
      <c r="I21" s="8"/>
      <c r="J21" s="8"/>
    </row>
    <row r="22" spans="1:10" ht="16.2" thickTop="1" x14ac:dyDescent="0.3">
      <c r="A22" s="30" t="s">
        <v>6</v>
      </c>
      <c r="B22" s="13"/>
      <c r="C22" s="13"/>
      <c r="D22" s="13"/>
      <c r="E22" s="13"/>
      <c r="F22" s="13"/>
      <c r="G22" s="14"/>
      <c r="H22" s="8"/>
      <c r="I22" s="8"/>
      <c r="J22" s="8"/>
    </row>
    <row r="23" spans="1:10" ht="15.6" x14ac:dyDescent="0.3">
      <c r="A23" s="15" t="s">
        <v>98</v>
      </c>
      <c r="B23" s="8"/>
      <c r="C23" s="8"/>
      <c r="D23" s="8"/>
      <c r="E23" s="8"/>
      <c r="F23" s="8"/>
      <c r="G23" s="31"/>
      <c r="H23" s="8"/>
      <c r="I23" s="8"/>
      <c r="J23" s="8"/>
    </row>
    <row r="24" spans="1:10" ht="15.6" x14ac:dyDescent="0.3">
      <c r="A24" s="15" t="s">
        <v>7</v>
      </c>
      <c r="B24" s="8"/>
      <c r="C24" s="20">
        <v>32695.27</v>
      </c>
      <c r="D24" s="8"/>
      <c r="E24" s="32" t="s">
        <v>57</v>
      </c>
      <c r="F24" s="8"/>
      <c r="G24" s="31"/>
      <c r="H24" s="8"/>
      <c r="I24" s="8"/>
      <c r="J24" s="8"/>
    </row>
    <row r="25" spans="1:10" ht="15.6" x14ac:dyDescent="0.3">
      <c r="A25" s="15"/>
      <c r="B25" s="8"/>
      <c r="C25" s="20"/>
      <c r="D25" s="8"/>
      <c r="E25" s="8" t="s">
        <v>58</v>
      </c>
      <c r="F25" s="8"/>
      <c r="G25" s="21">
        <f>SUM(C28)</f>
        <v>59029.490000000005</v>
      </c>
      <c r="H25" s="8"/>
      <c r="I25" s="8"/>
      <c r="J25" s="8"/>
    </row>
    <row r="26" spans="1:10" ht="15.6" x14ac:dyDescent="0.3">
      <c r="A26" s="15" t="s">
        <v>8</v>
      </c>
      <c r="B26" s="8"/>
      <c r="C26" s="20">
        <v>26334.22</v>
      </c>
      <c r="D26" s="8"/>
      <c r="E26" s="8" t="s">
        <v>59</v>
      </c>
      <c r="F26" s="8"/>
      <c r="G26" s="33">
        <f>C20</f>
        <v>53385.020000000004</v>
      </c>
      <c r="H26" s="8"/>
      <c r="I26" s="8"/>
      <c r="J26" s="8"/>
    </row>
    <row r="27" spans="1:10" ht="15.6" x14ac:dyDescent="0.3">
      <c r="A27" s="15"/>
      <c r="B27" s="8"/>
      <c r="C27" s="20"/>
      <c r="D27" s="8"/>
      <c r="E27" s="8"/>
      <c r="F27" s="8"/>
      <c r="G27" s="33">
        <f>SUM(G25-G26)</f>
        <v>5644.4700000000012</v>
      </c>
      <c r="H27" s="8"/>
      <c r="I27" s="8"/>
      <c r="J27" s="8"/>
    </row>
    <row r="28" spans="1:10" ht="15.6" x14ac:dyDescent="0.3">
      <c r="A28" s="18" t="s">
        <v>9</v>
      </c>
      <c r="B28" s="8"/>
      <c r="C28" s="23">
        <f>SUM(C24+C26)</f>
        <v>59029.490000000005</v>
      </c>
      <c r="D28" s="8"/>
      <c r="E28" s="8"/>
      <c r="F28" s="8"/>
      <c r="G28" s="21"/>
      <c r="H28" s="8"/>
      <c r="I28" s="8"/>
      <c r="J28" s="8"/>
    </row>
    <row r="29" spans="1:10" ht="16.2" thickBot="1" x14ac:dyDescent="0.35">
      <c r="A29" s="15"/>
      <c r="B29" s="8"/>
      <c r="C29" s="8"/>
      <c r="D29" s="8"/>
      <c r="E29" s="8"/>
      <c r="F29" s="8"/>
      <c r="G29" s="21"/>
      <c r="H29" s="8"/>
      <c r="I29" s="8"/>
      <c r="J29" s="8"/>
    </row>
    <row r="30" spans="1:10" ht="16.8" thickTop="1" thickBot="1" x14ac:dyDescent="0.35">
      <c r="A30" s="13"/>
      <c r="B30" s="13"/>
      <c r="C30" s="13"/>
      <c r="D30" s="13"/>
      <c r="E30" s="13"/>
      <c r="F30" s="13"/>
      <c r="G30" s="13"/>
      <c r="H30" s="8"/>
      <c r="I30" s="8"/>
      <c r="J30" s="8"/>
    </row>
    <row r="31" spans="1:10" ht="16.2" thickTop="1" x14ac:dyDescent="0.3">
      <c r="A31" s="30" t="s">
        <v>10</v>
      </c>
      <c r="B31" s="13"/>
      <c r="C31" s="49" t="s">
        <v>2</v>
      </c>
      <c r="D31" s="50" t="s">
        <v>55</v>
      </c>
      <c r="E31" s="50" t="s">
        <v>12</v>
      </c>
      <c r="F31" s="51" t="s">
        <v>46</v>
      </c>
      <c r="G31" s="50" t="s">
        <v>48</v>
      </c>
      <c r="H31" s="50"/>
      <c r="I31" s="52" t="s">
        <v>50</v>
      </c>
      <c r="J31" s="8"/>
    </row>
    <row r="32" spans="1:10" ht="15.6" x14ac:dyDescent="0.3">
      <c r="A32" s="15"/>
      <c r="B32" s="8"/>
      <c r="C32" s="8"/>
      <c r="D32" s="8"/>
      <c r="E32" s="53" t="s">
        <v>54</v>
      </c>
      <c r="F32" s="53" t="s">
        <v>47</v>
      </c>
      <c r="G32" s="53" t="s">
        <v>49</v>
      </c>
      <c r="H32" s="53"/>
      <c r="I32" s="54" t="s">
        <v>11</v>
      </c>
      <c r="J32" s="8"/>
    </row>
    <row r="33" spans="1:14" ht="15.6" x14ac:dyDescent="0.3">
      <c r="A33" s="15" t="s">
        <v>14</v>
      </c>
      <c r="B33" s="8"/>
      <c r="C33" s="20">
        <v>650</v>
      </c>
      <c r="D33" s="20">
        <f>SUM(307+210)</f>
        <v>517</v>
      </c>
      <c r="E33" s="20">
        <f t="shared" ref="E33:E40" si="0">SUM(C33-D33)</f>
        <v>133</v>
      </c>
      <c r="F33" s="20">
        <v>133</v>
      </c>
      <c r="G33" s="20">
        <f>D33+F33</f>
        <v>650</v>
      </c>
      <c r="H33" s="20"/>
      <c r="I33" s="55">
        <f>C33-G33</f>
        <v>0</v>
      </c>
      <c r="J33" s="8"/>
    </row>
    <row r="34" spans="1:14" ht="15.6" x14ac:dyDescent="0.3">
      <c r="A34" s="15" t="s">
        <v>15</v>
      </c>
      <c r="B34" s="8"/>
      <c r="C34" s="20">
        <v>600</v>
      </c>
      <c r="D34" s="20">
        <v>393.48</v>
      </c>
      <c r="E34" s="20">
        <f t="shared" si="0"/>
        <v>206.51999999999998</v>
      </c>
      <c r="F34" s="20">
        <v>0</v>
      </c>
      <c r="G34" s="20">
        <f t="shared" ref="G34:G63" si="1">D34+F34</f>
        <v>393.48</v>
      </c>
      <c r="H34" s="20"/>
      <c r="I34" s="55">
        <f t="shared" ref="I34:I54" si="2">C34-G34</f>
        <v>206.51999999999998</v>
      </c>
      <c r="J34" s="8"/>
    </row>
    <row r="35" spans="1:14" ht="15.6" x14ac:dyDescent="0.3">
      <c r="A35" s="15" t="s">
        <v>63</v>
      </c>
      <c r="B35" s="8"/>
      <c r="C35" s="20">
        <v>200</v>
      </c>
      <c r="D35" s="20">
        <v>0</v>
      </c>
      <c r="E35" s="20">
        <f t="shared" si="0"/>
        <v>200</v>
      </c>
      <c r="F35" s="20">
        <v>200</v>
      </c>
      <c r="G35" s="20">
        <f t="shared" si="1"/>
        <v>200</v>
      </c>
      <c r="H35" s="20"/>
      <c r="I35" s="55">
        <f t="shared" si="2"/>
        <v>0</v>
      </c>
      <c r="J35" s="8"/>
    </row>
    <row r="36" spans="1:14" ht="15.6" x14ac:dyDescent="0.3">
      <c r="A36" s="15" t="s">
        <v>16</v>
      </c>
      <c r="B36" s="8"/>
      <c r="C36" s="20">
        <f>SUM(25+29+18)</f>
        <v>72</v>
      </c>
      <c r="D36" s="20">
        <f>SUM(18+18)</f>
        <v>36</v>
      </c>
      <c r="E36" s="20">
        <f t="shared" si="0"/>
        <v>36</v>
      </c>
      <c r="F36" s="20">
        <v>36</v>
      </c>
      <c r="G36" s="20">
        <f t="shared" si="1"/>
        <v>72</v>
      </c>
      <c r="H36" s="20"/>
      <c r="I36" s="55">
        <f t="shared" si="2"/>
        <v>0</v>
      </c>
      <c r="J36" s="8"/>
    </row>
    <row r="37" spans="1:14" ht="15.6" x14ac:dyDescent="0.3">
      <c r="A37" s="15" t="s">
        <v>17</v>
      </c>
      <c r="B37" s="8"/>
      <c r="C37" s="20">
        <v>6000</v>
      </c>
      <c r="D37" s="20">
        <f>SUM(568.91+365.74+523.53+289.74+539.36+479.35+532.4+315.53+22.1+839.69+84.4)</f>
        <v>4560.7499999999991</v>
      </c>
      <c r="E37" s="20">
        <f t="shared" si="0"/>
        <v>1439.2500000000009</v>
      </c>
      <c r="F37" s="20">
        <f>3233.37-532.41-315.53-22.1-839.69-84.4</f>
        <v>1439.2400000000002</v>
      </c>
      <c r="G37" s="20">
        <f t="shared" si="1"/>
        <v>5999.99</v>
      </c>
      <c r="H37" s="20"/>
      <c r="I37" s="55">
        <f t="shared" si="2"/>
        <v>1.0000000000218279E-2</v>
      </c>
      <c r="J37" s="8"/>
      <c r="M37" s="1"/>
      <c r="N37" s="1"/>
    </row>
    <row r="38" spans="1:14" ht="15.6" x14ac:dyDescent="0.3">
      <c r="A38" s="15" t="s">
        <v>18</v>
      </c>
      <c r="B38" s="8"/>
      <c r="C38" s="20">
        <v>70</v>
      </c>
      <c r="D38" s="20">
        <f>SUM(21.6+8.55)</f>
        <v>30.150000000000002</v>
      </c>
      <c r="E38" s="20">
        <f t="shared" si="0"/>
        <v>39.849999999999994</v>
      </c>
      <c r="F38" s="20">
        <v>39.85</v>
      </c>
      <c r="G38" s="20">
        <f t="shared" si="1"/>
        <v>70</v>
      </c>
      <c r="H38" s="20"/>
      <c r="I38" s="55">
        <f t="shared" si="2"/>
        <v>0</v>
      </c>
      <c r="J38" s="8"/>
    </row>
    <row r="39" spans="1:14" ht="15.6" x14ac:dyDescent="0.3">
      <c r="A39" s="15" t="s">
        <v>19</v>
      </c>
      <c r="B39" s="8"/>
      <c r="C39" s="20">
        <f>SUM(200-200)</f>
        <v>0</v>
      </c>
      <c r="D39" s="20">
        <v>0</v>
      </c>
      <c r="E39" s="20">
        <f t="shared" si="0"/>
        <v>0</v>
      </c>
      <c r="F39" s="20">
        <v>0</v>
      </c>
      <c r="G39" s="20">
        <f t="shared" si="1"/>
        <v>0</v>
      </c>
      <c r="H39" s="20"/>
      <c r="I39" s="55">
        <f t="shared" si="2"/>
        <v>0</v>
      </c>
      <c r="J39" s="8"/>
      <c r="M39" s="1"/>
      <c r="N39" s="1"/>
    </row>
    <row r="40" spans="1:14" ht="15.6" x14ac:dyDescent="0.3">
      <c r="A40" s="15" t="s">
        <v>85</v>
      </c>
      <c r="B40" s="8"/>
      <c r="C40" s="20">
        <v>0</v>
      </c>
      <c r="D40" s="20">
        <v>224</v>
      </c>
      <c r="E40" s="20">
        <f t="shared" si="0"/>
        <v>-224</v>
      </c>
      <c r="F40" s="20">
        <v>0</v>
      </c>
      <c r="G40" s="20">
        <f t="shared" si="1"/>
        <v>224</v>
      </c>
      <c r="H40" s="20"/>
      <c r="I40" s="55">
        <f t="shared" si="2"/>
        <v>-224</v>
      </c>
      <c r="J40" s="8"/>
      <c r="M40" s="1"/>
      <c r="N40" s="1"/>
    </row>
    <row r="41" spans="1:14" ht="15.6" x14ac:dyDescent="0.3">
      <c r="A41" s="15" t="s">
        <v>20</v>
      </c>
      <c r="B41" s="8"/>
      <c r="C41" s="20">
        <v>150</v>
      </c>
      <c r="D41" s="20">
        <f>SUM(10+10.88+10+33+10+10+10+10+3.49+10+10+10)</f>
        <v>137.37</v>
      </c>
      <c r="E41" s="20">
        <f t="shared" ref="E41:E46" si="3">SUM(C41-D41)</f>
        <v>12.629999999999995</v>
      </c>
      <c r="F41" s="20">
        <v>40</v>
      </c>
      <c r="G41" s="20">
        <f t="shared" si="1"/>
        <v>177.37</v>
      </c>
      <c r="H41" s="20"/>
      <c r="I41" s="55">
        <f t="shared" si="2"/>
        <v>-27.370000000000005</v>
      </c>
      <c r="J41" s="8"/>
    </row>
    <row r="42" spans="1:14" ht="15.6" x14ac:dyDescent="0.3">
      <c r="A42" s="15" t="s">
        <v>21</v>
      </c>
      <c r="B42" s="8"/>
      <c r="C42" s="20">
        <v>400</v>
      </c>
      <c r="D42" s="20">
        <f>SUM(101+293.95)</f>
        <v>394.95</v>
      </c>
      <c r="E42" s="20">
        <f t="shared" si="3"/>
        <v>5.0500000000000114</v>
      </c>
      <c r="F42" s="20">
        <v>5.05</v>
      </c>
      <c r="G42" s="20">
        <f t="shared" si="1"/>
        <v>400</v>
      </c>
      <c r="H42" s="20"/>
      <c r="I42" s="55">
        <f t="shared" si="2"/>
        <v>0</v>
      </c>
      <c r="J42" s="8"/>
    </row>
    <row r="43" spans="1:14" ht="15.6" x14ac:dyDescent="0.3">
      <c r="A43" s="15" t="s">
        <v>22</v>
      </c>
      <c r="B43" s="8"/>
      <c r="C43" s="20">
        <v>100</v>
      </c>
      <c r="D43" s="20">
        <f>SUM(20.81+3.74+9+13.84+3.74+3.74+3.74+3.74+19.74+3.74+3.74+3.74+10.8+10.35)</f>
        <v>114.45999999999998</v>
      </c>
      <c r="E43" s="20">
        <f t="shared" si="3"/>
        <v>-14.45999999999998</v>
      </c>
      <c r="F43" s="20">
        <f>14.17-3.74-3.74</f>
        <v>6.6899999999999995</v>
      </c>
      <c r="G43" s="20">
        <f t="shared" si="1"/>
        <v>121.14999999999998</v>
      </c>
      <c r="H43" s="20"/>
      <c r="I43" s="55">
        <f t="shared" si="2"/>
        <v>-21.149999999999977</v>
      </c>
      <c r="J43" s="8"/>
      <c r="M43" s="56"/>
      <c r="N43" s="56"/>
    </row>
    <row r="44" spans="1:14" ht="15.6" x14ac:dyDescent="0.3">
      <c r="A44" s="15" t="s">
        <v>23</v>
      </c>
      <c r="B44" s="8"/>
      <c r="C44" s="20">
        <v>150</v>
      </c>
      <c r="D44" s="20">
        <v>66.66</v>
      </c>
      <c r="E44" s="20">
        <f t="shared" si="3"/>
        <v>83.34</v>
      </c>
      <c r="F44" s="20">
        <v>83.34</v>
      </c>
      <c r="G44" s="20">
        <f t="shared" si="1"/>
        <v>150</v>
      </c>
      <c r="H44" s="20"/>
      <c r="I44" s="55">
        <f t="shared" si="2"/>
        <v>0</v>
      </c>
      <c r="J44" s="8"/>
    </row>
    <row r="45" spans="1:14" ht="15.6" x14ac:dyDescent="0.3">
      <c r="A45" s="15" t="s">
        <v>24</v>
      </c>
      <c r="B45" s="8"/>
      <c r="C45" s="20">
        <v>0</v>
      </c>
      <c r="D45" s="20">
        <v>90</v>
      </c>
      <c r="E45" s="20">
        <f t="shared" si="3"/>
        <v>-90</v>
      </c>
      <c r="F45" s="20">
        <v>0</v>
      </c>
      <c r="G45" s="20">
        <f t="shared" si="1"/>
        <v>90</v>
      </c>
      <c r="H45" s="20"/>
      <c r="I45" s="55">
        <f t="shared" si="2"/>
        <v>-90</v>
      </c>
      <c r="J45" s="8"/>
      <c r="M45" s="1"/>
      <c r="N45" s="1"/>
    </row>
    <row r="46" spans="1:14" ht="15.6" x14ac:dyDescent="0.3">
      <c r="A46" s="15" t="s">
        <v>25</v>
      </c>
      <c r="B46" s="8"/>
      <c r="C46" s="20">
        <v>175</v>
      </c>
      <c r="D46" s="20">
        <f>SUM(120+25)</f>
        <v>145</v>
      </c>
      <c r="E46" s="20">
        <f t="shared" si="3"/>
        <v>30</v>
      </c>
      <c r="F46" s="20">
        <v>30</v>
      </c>
      <c r="G46" s="20">
        <f t="shared" si="1"/>
        <v>175</v>
      </c>
      <c r="H46" s="20"/>
      <c r="I46" s="55">
        <f t="shared" si="2"/>
        <v>0</v>
      </c>
      <c r="J46" s="8"/>
      <c r="M46" s="56"/>
      <c r="N46" s="56"/>
    </row>
    <row r="47" spans="1:14" ht="15.6" x14ac:dyDescent="0.3">
      <c r="A47" s="15" t="s">
        <v>26</v>
      </c>
      <c r="B47" s="8"/>
      <c r="C47" s="20">
        <v>300</v>
      </c>
      <c r="D47" s="20">
        <f>SUM(107.56)</f>
        <v>107.56</v>
      </c>
      <c r="E47" s="20">
        <f>SUM(C47-D47)</f>
        <v>192.44</v>
      </c>
      <c r="F47" s="20">
        <v>192.44</v>
      </c>
      <c r="G47" s="20">
        <f t="shared" si="1"/>
        <v>300</v>
      </c>
      <c r="H47" s="20"/>
      <c r="I47" s="55">
        <f t="shared" si="2"/>
        <v>0</v>
      </c>
      <c r="J47" s="8"/>
      <c r="M47" s="56"/>
    </row>
    <row r="48" spans="1:14" ht="15.6" x14ac:dyDescent="0.3">
      <c r="A48" s="15" t="s">
        <v>27</v>
      </c>
      <c r="B48" s="8"/>
      <c r="C48" s="20">
        <f>SUM(40-1.85)</f>
        <v>38.15</v>
      </c>
      <c r="D48" s="20">
        <v>35</v>
      </c>
      <c r="E48" s="20">
        <v>3.15</v>
      </c>
      <c r="F48" s="20">
        <v>0</v>
      </c>
      <c r="G48" s="20">
        <f t="shared" si="1"/>
        <v>35</v>
      </c>
      <c r="H48" s="20"/>
      <c r="I48" s="55">
        <f t="shared" si="2"/>
        <v>3.1499999999999986</v>
      </c>
      <c r="J48" s="8"/>
      <c r="M48" s="56"/>
      <c r="N48" s="56"/>
    </row>
    <row r="49" spans="1:14" ht="15.6" x14ac:dyDescent="0.3">
      <c r="A49" s="15" t="s">
        <v>28</v>
      </c>
      <c r="B49" s="8"/>
      <c r="C49" s="20">
        <v>750</v>
      </c>
      <c r="D49" s="20">
        <v>600</v>
      </c>
      <c r="E49" s="20">
        <f>SUM(C49-D49)</f>
        <v>150</v>
      </c>
      <c r="F49" s="20">
        <v>150</v>
      </c>
      <c r="G49" s="20">
        <f t="shared" si="1"/>
        <v>750</v>
      </c>
      <c r="H49" s="20"/>
      <c r="I49" s="55">
        <f t="shared" si="2"/>
        <v>0</v>
      </c>
      <c r="J49" s="8"/>
      <c r="M49" s="56"/>
      <c r="N49" s="56"/>
    </row>
    <row r="50" spans="1:14" ht="15.6" x14ac:dyDescent="0.3">
      <c r="A50" s="15" t="s">
        <v>29</v>
      </c>
      <c r="B50" s="8"/>
      <c r="C50" s="20">
        <v>0</v>
      </c>
      <c r="D50" s="20">
        <v>0</v>
      </c>
      <c r="E50" s="20">
        <f>SUM(C50-D50)</f>
        <v>0</v>
      </c>
      <c r="F50" s="20">
        <v>0</v>
      </c>
      <c r="G50" s="20">
        <f t="shared" si="1"/>
        <v>0</v>
      </c>
      <c r="H50" s="20"/>
      <c r="I50" s="55">
        <f t="shared" si="2"/>
        <v>0</v>
      </c>
      <c r="J50" s="8"/>
      <c r="M50" s="1"/>
    </row>
    <row r="51" spans="1:14" ht="15.6" x14ac:dyDescent="0.3">
      <c r="A51" s="15" t="s">
        <v>30</v>
      </c>
      <c r="B51" s="8"/>
      <c r="C51" s="20">
        <v>200</v>
      </c>
      <c r="D51" s="20">
        <v>14.28</v>
      </c>
      <c r="E51" s="20">
        <f>SUM(C51-D51)</f>
        <v>185.72</v>
      </c>
      <c r="F51" s="20">
        <v>185.72</v>
      </c>
      <c r="G51" s="20">
        <f t="shared" si="1"/>
        <v>200</v>
      </c>
      <c r="H51" s="20"/>
      <c r="I51" s="55">
        <f t="shared" si="2"/>
        <v>0</v>
      </c>
      <c r="J51" s="8"/>
      <c r="M51" s="1"/>
      <c r="N51" s="1"/>
    </row>
    <row r="52" spans="1:14" ht="15.6" x14ac:dyDescent="0.3">
      <c r="A52" s="15" t="s">
        <v>31</v>
      </c>
      <c r="B52" s="8"/>
      <c r="C52" s="20">
        <f>SUM(400+1.85)</f>
        <v>401.85</v>
      </c>
      <c r="D52" s="20">
        <f>SUM(365.44+36.41)</f>
        <v>401.85</v>
      </c>
      <c r="E52" s="20">
        <f>SUM(C52-D52)</f>
        <v>0</v>
      </c>
      <c r="F52" s="20">
        <v>0</v>
      </c>
      <c r="G52" s="20">
        <f t="shared" si="1"/>
        <v>401.85</v>
      </c>
      <c r="H52" s="20"/>
      <c r="I52" s="55">
        <v>0</v>
      </c>
      <c r="J52" s="8"/>
      <c r="M52" s="1"/>
      <c r="N52" s="1"/>
    </row>
    <row r="53" spans="1:14" ht="15.6" x14ac:dyDescent="0.3">
      <c r="A53" s="15" t="s">
        <v>32</v>
      </c>
      <c r="B53" s="8"/>
      <c r="C53" s="20">
        <v>1250</v>
      </c>
      <c r="D53" s="20">
        <v>0</v>
      </c>
      <c r="E53" s="20">
        <v>1250</v>
      </c>
      <c r="F53" s="20">
        <v>1250</v>
      </c>
      <c r="G53" s="20">
        <f t="shared" si="1"/>
        <v>1250</v>
      </c>
      <c r="H53" s="20"/>
      <c r="I53" s="55">
        <f t="shared" si="2"/>
        <v>0</v>
      </c>
      <c r="J53" s="8"/>
      <c r="M53" s="1"/>
      <c r="N53" s="1"/>
    </row>
    <row r="54" spans="1:14" ht="15.6" x14ac:dyDescent="0.3">
      <c r="A54" s="15" t="s">
        <v>33</v>
      </c>
      <c r="B54" s="8"/>
      <c r="C54" s="20">
        <v>1250</v>
      </c>
      <c r="D54" s="20">
        <f>SUM(100+500+900)</f>
        <v>1500</v>
      </c>
      <c r="E54" s="20">
        <f>SUM(C54-D54)</f>
        <v>-250</v>
      </c>
      <c r="F54" s="20">
        <v>0</v>
      </c>
      <c r="G54" s="20">
        <f t="shared" si="1"/>
        <v>1500</v>
      </c>
      <c r="H54" s="20"/>
      <c r="I54" s="55">
        <f t="shared" si="2"/>
        <v>-250</v>
      </c>
      <c r="J54" s="8"/>
      <c r="M54" s="1"/>
      <c r="N54" s="1"/>
    </row>
    <row r="55" spans="1:14" ht="15.6" x14ac:dyDescent="0.3">
      <c r="A55" s="15" t="s">
        <v>34</v>
      </c>
      <c r="B55" s="8"/>
      <c r="C55" s="20">
        <v>50</v>
      </c>
      <c r="D55" s="20">
        <f>SUM(18.53)</f>
        <v>18.53</v>
      </c>
      <c r="E55" s="20">
        <f>SUM(C55-D55)</f>
        <v>31.47</v>
      </c>
      <c r="F55" s="20">
        <v>31.47</v>
      </c>
      <c r="G55" s="20">
        <f t="shared" si="1"/>
        <v>50</v>
      </c>
      <c r="H55" s="20"/>
      <c r="I55" s="55">
        <f>SUM(C55-G55)</f>
        <v>0</v>
      </c>
      <c r="J55" s="8"/>
    </row>
    <row r="56" spans="1:14" ht="15.6" x14ac:dyDescent="0.3">
      <c r="A56" s="15" t="s">
        <v>35</v>
      </c>
      <c r="B56" s="8"/>
      <c r="C56" s="20"/>
      <c r="D56" s="20"/>
      <c r="E56" s="20"/>
      <c r="F56" s="8"/>
      <c r="G56" s="20">
        <f t="shared" si="1"/>
        <v>0</v>
      </c>
      <c r="H56" s="20"/>
      <c r="I56" s="55"/>
      <c r="J56" s="8"/>
      <c r="M56" s="1"/>
      <c r="N56" s="1"/>
    </row>
    <row r="57" spans="1:14" ht="15.6" x14ac:dyDescent="0.3">
      <c r="A57" s="57" t="s">
        <v>36</v>
      </c>
      <c r="B57" s="8"/>
      <c r="C57" s="20">
        <v>8250</v>
      </c>
      <c r="D57" s="20">
        <f>SUM(2062.5+2062.5+4125)</f>
        <v>8250</v>
      </c>
      <c r="E57" s="20">
        <f>SUM(C57-D57)</f>
        <v>0</v>
      </c>
      <c r="F57" s="20">
        <v>0</v>
      </c>
      <c r="G57" s="20">
        <f t="shared" si="1"/>
        <v>8250</v>
      </c>
      <c r="H57" s="20"/>
      <c r="I57" s="55">
        <f>C57-G57</f>
        <v>0</v>
      </c>
      <c r="J57" s="8"/>
      <c r="M57" s="1"/>
      <c r="N57" s="1"/>
    </row>
    <row r="58" spans="1:14" ht="15.6" x14ac:dyDescent="0.3">
      <c r="A58" s="15" t="s">
        <v>61</v>
      </c>
      <c r="B58" s="8"/>
      <c r="C58" s="20">
        <v>3151.84</v>
      </c>
      <c r="D58" s="20">
        <v>3151.84</v>
      </c>
      <c r="E58" s="20">
        <v>0</v>
      </c>
      <c r="F58" s="20">
        <v>0</v>
      </c>
      <c r="G58" s="20">
        <f t="shared" si="1"/>
        <v>3151.84</v>
      </c>
      <c r="H58" s="20"/>
      <c r="I58" s="55">
        <f>C58-G58</f>
        <v>0</v>
      </c>
      <c r="J58" s="8"/>
      <c r="M58" s="1"/>
      <c r="N58" s="1"/>
    </row>
    <row r="59" spans="1:14" ht="15.6" x14ac:dyDescent="0.3">
      <c r="A59" s="15" t="s">
        <v>67</v>
      </c>
      <c r="B59" s="8"/>
      <c r="C59" s="20">
        <v>6575.92</v>
      </c>
      <c r="D59" s="20">
        <v>0</v>
      </c>
      <c r="E59" s="20">
        <v>6575.92</v>
      </c>
      <c r="F59" s="20">
        <v>6575.92</v>
      </c>
      <c r="G59" s="20">
        <f t="shared" si="1"/>
        <v>6575.92</v>
      </c>
      <c r="H59" s="20"/>
      <c r="I59" s="55">
        <v>0</v>
      </c>
      <c r="J59" s="8"/>
      <c r="M59" s="1"/>
      <c r="N59" s="1"/>
    </row>
    <row r="60" spans="1:14" ht="15.6" x14ac:dyDescent="0.3">
      <c r="A60" s="15" t="s">
        <v>43</v>
      </c>
      <c r="B60" s="8"/>
      <c r="C60" s="20">
        <v>500</v>
      </c>
      <c r="D60" s="20">
        <v>0</v>
      </c>
      <c r="E60" s="20">
        <v>500</v>
      </c>
      <c r="F60" s="20">
        <v>500</v>
      </c>
      <c r="G60" s="20">
        <f t="shared" si="1"/>
        <v>500</v>
      </c>
      <c r="H60" s="20"/>
      <c r="I60" s="55">
        <f>C60-G60</f>
        <v>0</v>
      </c>
      <c r="J60" s="8"/>
      <c r="M60" s="1"/>
      <c r="N60" s="1"/>
    </row>
    <row r="61" spans="1:14" ht="15.6" x14ac:dyDescent="0.3">
      <c r="A61" s="15" t="s">
        <v>56</v>
      </c>
      <c r="B61" s="8"/>
      <c r="C61" s="20">
        <v>1235</v>
      </c>
      <c r="D61" s="20">
        <v>0</v>
      </c>
      <c r="E61" s="20">
        <f>SUM(C61-D61)</f>
        <v>1235</v>
      </c>
      <c r="F61" s="20">
        <v>1235</v>
      </c>
      <c r="G61" s="20">
        <f t="shared" si="1"/>
        <v>1235</v>
      </c>
      <c r="H61" s="20"/>
      <c r="I61" s="58">
        <f>C61-G61</f>
        <v>0</v>
      </c>
      <c r="J61" s="8"/>
    </row>
    <row r="62" spans="1:14" ht="15.6" x14ac:dyDescent="0.3">
      <c r="A62" s="15" t="s">
        <v>68</v>
      </c>
      <c r="B62" s="8"/>
      <c r="C62" s="20">
        <v>765</v>
      </c>
      <c r="D62" s="20">
        <v>142.72999999999999</v>
      </c>
      <c r="E62" s="20">
        <f>SUM(765-142.73)</f>
        <v>622.27</v>
      </c>
      <c r="F62" s="20">
        <v>622.27</v>
      </c>
      <c r="G62" s="20">
        <f t="shared" si="1"/>
        <v>765</v>
      </c>
      <c r="H62" s="20"/>
      <c r="I62" s="55">
        <v>0</v>
      </c>
      <c r="J62" s="8"/>
    </row>
    <row r="63" spans="1:14" ht="15.6" x14ac:dyDescent="0.3">
      <c r="A63" s="15" t="s">
        <v>69</v>
      </c>
      <c r="B63" s="8"/>
      <c r="C63" s="20">
        <v>144</v>
      </c>
      <c r="D63" s="20">
        <v>0</v>
      </c>
      <c r="E63" s="20">
        <v>144</v>
      </c>
      <c r="F63" s="20">
        <v>144</v>
      </c>
      <c r="G63" s="20">
        <f t="shared" si="1"/>
        <v>144</v>
      </c>
      <c r="H63" s="20"/>
      <c r="I63" s="55">
        <v>0</v>
      </c>
      <c r="J63" s="8"/>
      <c r="M63" s="1"/>
      <c r="N63" s="1"/>
    </row>
    <row r="64" spans="1:14" ht="15.6" x14ac:dyDescent="0.3">
      <c r="A64" s="15"/>
      <c r="B64" s="8"/>
      <c r="C64" s="8"/>
      <c r="D64" s="8"/>
      <c r="E64" s="8"/>
      <c r="F64" s="8"/>
      <c r="G64" s="8"/>
      <c r="H64" s="8"/>
      <c r="I64" s="31"/>
      <c r="J64" s="8"/>
    </row>
    <row r="65" spans="1:14" ht="15.6" x14ac:dyDescent="0.3">
      <c r="A65" s="15" t="s">
        <v>5</v>
      </c>
      <c r="B65" s="8"/>
      <c r="C65" s="23">
        <f>SUM(C33:C63)</f>
        <v>33428.76</v>
      </c>
      <c r="D65" s="23">
        <f>SUM(D33:D63)</f>
        <v>20931.61</v>
      </c>
      <c r="E65" s="23">
        <f>SUM(E33:E63)</f>
        <v>12497.150000000001</v>
      </c>
      <c r="F65" s="23">
        <f>SUM(F33:F63)</f>
        <v>12899.99</v>
      </c>
      <c r="G65" s="23">
        <f>SUM(G33:G63)</f>
        <v>33831.599999999999</v>
      </c>
      <c r="H65" s="23"/>
      <c r="I65" s="59">
        <f>C65-G65</f>
        <v>-402.83999999999651</v>
      </c>
      <c r="J65" s="8"/>
    </row>
    <row r="66" spans="1:14" ht="16.2" thickBot="1" x14ac:dyDescent="0.35">
      <c r="A66" s="60"/>
      <c r="B66" s="26"/>
      <c r="C66" s="27"/>
      <c r="D66" s="27"/>
      <c r="E66" s="27"/>
      <c r="F66" s="27"/>
      <c r="G66" s="27"/>
      <c r="H66" s="27"/>
      <c r="I66" s="61"/>
      <c r="J66" s="8"/>
    </row>
    <row r="67" spans="1:14" ht="16.2" thickTop="1" x14ac:dyDescent="0.3">
      <c r="A67" s="8"/>
      <c r="B67" s="8"/>
      <c r="C67" s="20"/>
      <c r="D67" s="20"/>
      <c r="E67" s="20"/>
      <c r="F67" s="20"/>
      <c r="G67" s="8"/>
      <c r="H67" s="8"/>
      <c r="I67" s="8"/>
      <c r="J67" s="8"/>
      <c r="M67" s="1"/>
      <c r="N67" s="1"/>
    </row>
    <row r="68" spans="1:14" ht="16.2" thickBot="1" x14ac:dyDescent="0.35">
      <c r="A68" s="26"/>
      <c r="B68" s="26"/>
      <c r="C68" s="34"/>
      <c r="D68" s="34"/>
      <c r="E68" s="34"/>
      <c r="F68" s="34"/>
      <c r="G68" s="26"/>
      <c r="H68" s="8"/>
      <c r="I68" s="8"/>
      <c r="J68" s="8"/>
    </row>
    <row r="69" spans="1:14" ht="16.2" thickTop="1" x14ac:dyDescent="0.3">
      <c r="A69" s="30" t="s">
        <v>87</v>
      </c>
      <c r="B69" s="13"/>
      <c r="C69" s="35"/>
      <c r="D69" s="35"/>
      <c r="E69" s="42" t="s">
        <v>37</v>
      </c>
      <c r="F69" s="42" t="s">
        <v>38</v>
      </c>
      <c r="G69" s="43" t="s">
        <v>5</v>
      </c>
      <c r="H69" s="8"/>
      <c r="I69" s="8"/>
      <c r="J69" s="8"/>
    </row>
    <row r="70" spans="1:14" ht="15.6" x14ac:dyDescent="0.3">
      <c r="A70" s="15"/>
      <c r="B70" s="8"/>
      <c r="C70" s="8"/>
      <c r="D70" s="8"/>
      <c r="E70" s="8"/>
      <c r="F70" s="8"/>
      <c r="G70" s="31"/>
      <c r="H70" s="8"/>
      <c r="I70" s="8"/>
      <c r="J70" s="8"/>
    </row>
    <row r="71" spans="1:14" ht="15.6" x14ac:dyDescent="0.3">
      <c r="A71" s="15" t="s">
        <v>72</v>
      </c>
      <c r="B71" s="8"/>
      <c r="C71" s="8"/>
      <c r="D71" s="8"/>
      <c r="E71" s="20">
        <v>3.74</v>
      </c>
      <c r="F71" s="20">
        <v>0.75</v>
      </c>
      <c r="G71" s="21">
        <f>E71+F71</f>
        <v>4.49</v>
      </c>
      <c r="H71" s="20"/>
      <c r="I71" s="8"/>
      <c r="J71" s="8"/>
    </row>
    <row r="72" spans="1:14" ht="15.6" x14ac:dyDescent="0.3">
      <c r="A72" s="15" t="s">
        <v>72</v>
      </c>
      <c r="B72" s="8"/>
      <c r="C72" s="8"/>
      <c r="D72" s="8"/>
      <c r="E72" s="20">
        <v>275.14999999999998</v>
      </c>
      <c r="F72" s="20">
        <v>55.04</v>
      </c>
      <c r="G72" s="21">
        <f t="shared" ref="G72" si="4">E72+F72</f>
        <v>330.19</v>
      </c>
      <c r="H72" s="20"/>
      <c r="I72" s="8"/>
      <c r="J72" s="8"/>
    </row>
    <row r="73" spans="1:14" ht="15.6" x14ac:dyDescent="0.3">
      <c r="A73" s="15" t="s">
        <v>72</v>
      </c>
      <c r="B73" s="8"/>
      <c r="C73" s="8"/>
      <c r="D73" s="8"/>
      <c r="E73" s="20">
        <v>202.79</v>
      </c>
      <c r="F73" s="20">
        <v>40.56</v>
      </c>
      <c r="G73" s="21">
        <f t="shared" ref="G73:G84" si="5">SUM(E73:F73)</f>
        <v>243.35</v>
      </c>
      <c r="H73" s="20"/>
      <c r="I73" s="8"/>
      <c r="J73" s="8"/>
    </row>
    <row r="74" spans="1:14" ht="15.6" x14ac:dyDescent="0.3">
      <c r="A74" s="15" t="s">
        <v>94</v>
      </c>
      <c r="B74" s="8"/>
      <c r="C74" s="8"/>
      <c r="D74" s="8"/>
      <c r="E74" s="20">
        <v>315.52999999999997</v>
      </c>
      <c r="F74" s="20"/>
      <c r="G74" s="21">
        <f t="shared" si="5"/>
        <v>315.52999999999997</v>
      </c>
      <c r="H74" s="20"/>
      <c r="I74" s="8"/>
      <c r="J74" s="8"/>
    </row>
    <row r="75" spans="1:14" ht="15.6" x14ac:dyDescent="0.3">
      <c r="A75" s="15" t="s">
        <v>88</v>
      </c>
      <c r="B75" s="8"/>
      <c r="C75" s="8"/>
      <c r="D75" s="8"/>
      <c r="E75" s="20">
        <v>22.1</v>
      </c>
      <c r="F75" s="20"/>
      <c r="G75" s="21">
        <f t="shared" si="5"/>
        <v>22.1</v>
      </c>
      <c r="H75" s="20"/>
      <c r="I75" s="8"/>
      <c r="J75" s="8"/>
    </row>
    <row r="76" spans="1:14" ht="15.6" x14ac:dyDescent="0.3">
      <c r="A76" s="15" t="s">
        <v>89</v>
      </c>
      <c r="B76" s="8"/>
      <c r="C76" s="8"/>
      <c r="D76" s="8"/>
      <c r="E76" s="20">
        <v>10.8</v>
      </c>
      <c r="F76" s="20">
        <v>2.7</v>
      </c>
      <c r="G76" s="21">
        <f t="shared" si="5"/>
        <v>13.5</v>
      </c>
      <c r="H76" s="20"/>
      <c r="I76" s="8"/>
      <c r="J76" s="8"/>
    </row>
    <row r="77" spans="1:14" ht="15.6" x14ac:dyDescent="0.3">
      <c r="A77" s="15" t="s">
        <v>90</v>
      </c>
      <c r="B77" s="8"/>
      <c r="C77" s="8"/>
      <c r="D77" s="8"/>
      <c r="E77" s="20">
        <v>10.35</v>
      </c>
      <c r="F77" s="20">
        <v>2.6</v>
      </c>
      <c r="G77" s="21">
        <f t="shared" si="5"/>
        <v>12.95</v>
      </c>
      <c r="H77" s="20"/>
      <c r="I77" s="8"/>
      <c r="J77" s="8"/>
    </row>
    <row r="78" spans="1:14" ht="15.6" x14ac:dyDescent="0.3">
      <c r="A78" s="15" t="s">
        <v>91</v>
      </c>
      <c r="B78" s="8"/>
      <c r="C78" s="8"/>
      <c r="D78" s="8"/>
      <c r="E78" s="20">
        <v>90</v>
      </c>
      <c r="F78" s="20">
        <v>18</v>
      </c>
      <c r="G78" s="21">
        <f t="shared" si="5"/>
        <v>108</v>
      </c>
      <c r="H78" s="20"/>
      <c r="I78" s="8"/>
      <c r="J78" s="8"/>
    </row>
    <row r="79" spans="1:14" ht="15.6" x14ac:dyDescent="0.3">
      <c r="A79" s="15" t="s">
        <v>92</v>
      </c>
      <c r="B79" s="8"/>
      <c r="C79" s="8"/>
      <c r="D79" s="8"/>
      <c r="E79" s="20">
        <v>84.4</v>
      </c>
      <c r="F79" s="20"/>
      <c r="G79" s="21">
        <f t="shared" si="5"/>
        <v>84.4</v>
      </c>
      <c r="H79" s="20"/>
      <c r="I79" s="8"/>
      <c r="J79" s="8"/>
    </row>
    <row r="80" spans="1:14" ht="15.6" x14ac:dyDescent="0.3">
      <c r="A80" s="15" t="s">
        <v>93</v>
      </c>
      <c r="B80" s="8"/>
      <c r="C80" s="8"/>
      <c r="D80" s="8"/>
      <c r="E80" s="20">
        <v>140.03</v>
      </c>
      <c r="F80" s="20"/>
      <c r="G80" s="21">
        <f t="shared" si="5"/>
        <v>140.03</v>
      </c>
      <c r="H80" s="20"/>
      <c r="I80" s="8"/>
      <c r="J80" s="8"/>
    </row>
    <row r="81" spans="1:12" ht="15.6" x14ac:dyDescent="0.3">
      <c r="A81" s="15" t="s">
        <v>95</v>
      </c>
      <c r="B81" s="8"/>
      <c r="C81" s="8"/>
      <c r="D81" s="8"/>
      <c r="E81" s="20">
        <v>839.69</v>
      </c>
      <c r="F81" s="20"/>
      <c r="G81" s="21">
        <f t="shared" si="5"/>
        <v>839.69</v>
      </c>
      <c r="H81" s="20"/>
      <c r="I81" s="8"/>
      <c r="J81" s="8"/>
    </row>
    <row r="82" spans="1:12" ht="15.6" x14ac:dyDescent="0.3">
      <c r="A82" s="15" t="s">
        <v>96</v>
      </c>
      <c r="B82" s="8"/>
      <c r="C82" s="8"/>
      <c r="D82" s="8"/>
      <c r="E82" s="44">
        <v>94.43</v>
      </c>
      <c r="F82" s="44">
        <v>18.87</v>
      </c>
      <c r="G82" s="21">
        <f t="shared" si="5"/>
        <v>113.30000000000001</v>
      </c>
      <c r="H82" s="20"/>
      <c r="I82" s="8"/>
      <c r="J82" s="8"/>
    </row>
    <row r="83" spans="1:12" ht="15.6" x14ac:dyDescent="0.3">
      <c r="A83" s="15" t="s">
        <v>97</v>
      </c>
      <c r="B83" s="8"/>
      <c r="C83" s="8"/>
      <c r="D83" s="8"/>
      <c r="E83" s="47">
        <v>4125</v>
      </c>
      <c r="F83" s="47"/>
      <c r="G83" s="48">
        <f t="shared" si="5"/>
        <v>4125</v>
      </c>
      <c r="H83" s="20"/>
      <c r="I83" s="8"/>
      <c r="J83" s="8"/>
    </row>
    <row r="84" spans="1:12" ht="15.6" x14ac:dyDescent="0.3">
      <c r="A84" s="15" t="s">
        <v>99</v>
      </c>
      <c r="B84" s="8"/>
      <c r="C84" s="8"/>
      <c r="D84" s="8"/>
      <c r="E84" s="47">
        <v>10</v>
      </c>
      <c r="F84" s="47">
        <v>2</v>
      </c>
      <c r="G84" s="48">
        <f t="shared" si="5"/>
        <v>12</v>
      </c>
      <c r="H84" s="20"/>
      <c r="I84" s="8"/>
      <c r="J84" s="8"/>
    </row>
    <row r="85" spans="1:12" ht="15.6" x14ac:dyDescent="0.3">
      <c r="A85" s="15"/>
      <c r="B85" s="8"/>
      <c r="C85" s="8"/>
      <c r="D85" s="8"/>
      <c r="E85" s="23">
        <f>SUM(E71:E84)</f>
        <v>6224.01</v>
      </c>
      <c r="F85" s="23">
        <f>SUM(F71:F83)</f>
        <v>138.51999999999998</v>
      </c>
      <c r="G85" s="24">
        <f>SUM(G71:G84)</f>
        <v>6364.5300000000007</v>
      </c>
      <c r="H85" s="23"/>
      <c r="I85" s="8"/>
      <c r="J85" s="8"/>
      <c r="L85" s="1"/>
    </row>
    <row r="86" spans="1:12" ht="16.2" thickBot="1" x14ac:dyDescent="0.35">
      <c r="A86" s="36"/>
      <c r="B86" s="26"/>
      <c r="C86" s="26"/>
      <c r="D86" s="26"/>
      <c r="E86" s="26"/>
      <c r="F86" s="26"/>
      <c r="G86" s="28"/>
      <c r="H86" s="8"/>
      <c r="I86" s="8"/>
      <c r="J86" s="8"/>
      <c r="L86" s="1"/>
    </row>
    <row r="87" spans="1:12" ht="16.8" thickTop="1" thickBot="1" x14ac:dyDescent="0.35">
      <c r="A87" s="37"/>
      <c r="B87" s="37"/>
      <c r="C87" s="37"/>
      <c r="D87" s="37"/>
      <c r="E87" s="37"/>
      <c r="F87" s="37"/>
      <c r="G87" s="37"/>
      <c r="H87" s="8"/>
      <c r="I87" s="8"/>
      <c r="J87" s="8"/>
      <c r="L87" s="1"/>
    </row>
    <row r="88" spans="1:12" ht="16.2" thickTop="1" x14ac:dyDescent="0.3">
      <c r="A88" s="30" t="s">
        <v>39</v>
      </c>
      <c r="B88" s="38"/>
      <c r="C88" s="13"/>
      <c r="D88" s="13"/>
      <c r="E88" s="13"/>
      <c r="F88" s="13"/>
      <c r="G88" s="14"/>
      <c r="H88" s="8"/>
      <c r="I88" s="8"/>
      <c r="J88" s="8"/>
    </row>
    <row r="89" spans="1:12" ht="15.6" x14ac:dyDescent="0.3">
      <c r="A89" s="15"/>
      <c r="B89" s="8"/>
      <c r="C89" s="8"/>
      <c r="D89" s="8"/>
      <c r="E89" s="20"/>
      <c r="F89" s="8"/>
      <c r="G89" s="31"/>
      <c r="H89" s="8"/>
      <c r="I89" s="8"/>
      <c r="J89" s="8"/>
    </row>
    <row r="90" spans="1:12" ht="15.6" x14ac:dyDescent="0.3">
      <c r="A90" s="15" t="s">
        <v>13</v>
      </c>
      <c r="B90" s="8"/>
      <c r="C90" s="8"/>
      <c r="D90" s="20">
        <f>379.69+170.89-202.79-275.15-94.44</f>
        <v>-21.800000000000011</v>
      </c>
      <c r="E90" s="20"/>
      <c r="F90" s="20"/>
      <c r="G90" s="31"/>
      <c r="H90" s="8"/>
      <c r="I90" s="8"/>
      <c r="J90" s="8"/>
    </row>
    <row r="91" spans="1:12" ht="15.6" x14ac:dyDescent="0.3">
      <c r="A91" s="15" t="s">
        <v>40</v>
      </c>
      <c r="B91" s="8"/>
      <c r="C91" s="8"/>
      <c r="D91" s="20">
        <v>245.54</v>
      </c>
      <c r="E91" s="20"/>
      <c r="F91" s="20"/>
      <c r="G91" s="31"/>
      <c r="H91" s="8"/>
      <c r="I91" s="8"/>
      <c r="J91" s="8"/>
    </row>
    <row r="92" spans="1:12" ht="15.6" x14ac:dyDescent="0.3">
      <c r="A92" s="15" t="s">
        <v>64</v>
      </c>
      <c r="B92" s="8"/>
      <c r="C92" s="8"/>
      <c r="D92" s="20">
        <f>SUM(5220-3320)</f>
        <v>1900</v>
      </c>
      <c r="E92" s="20"/>
      <c r="F92" s="20"/>
      <c r="G92" s="31"/>
      <c r="H92" s="8"/>
      <c r="I92" s="8"/>
      <c r="J92" s="8"/>
    </row>
    <row r="93" spans="1:12" ht="15.6" x14ac:dyDescent="0.3">
      <c r="A93" s="15" t="s">
        <v>65</v>
      </c>
      <c r="B93" s="8"/>
      <c r="C93" s="8"/>
      <c r="D93" s="20">
        <f>SUM(10441.83-3424.08)</f>
        <v>7017.75</v>
      </c>
      <c r="E93" s="20"/>
      <c r="F93" s="20"/>
      <c r="G93" s="31"/>
      <c r="H93" s="8"/>
      <c r="I93" s="8"/>
      <c r="J93" s="8"/>
    </row>
    <row r="94" spans="1:12" ht="15.6" x14ac:dyDescent="0.3">
      <c r="A94" s="15" t="s">
        <v>56</v>
      </c>
      <c r="B94" s="8"/>
      <c r="C94" s="8"/>
      <c r="D94" s="20">
        <v>4000</v>
      </c>
      <c r="E94" s="20"/>
      <c r="F94" s="20"/>
      <c r="G94" s="31"/>
      <c r="H94" s="8"/>
      <c r="I94" s="8"/>
      <c r="J94" s="8"/>
    </row>
    <row r="95" spans="1:12" ht="15.6" x14ac:dyDescent="0.3">
      <c r="A95" s="15" t="s">
        <v>24</v>
      </c>
      <c r="B95" s="8"/>
      <c r="C95" s="8"/>
      <c r="D95" s="20">
        <v>1000</v>
      </c>
      <c r="E95" s="20"/>
      <c r="F95" s="20"/>
      <c r="G95" s="31"/>
      <c r="H95" s="8"/>
      <c r="I95" s="8"/>
      <c r="J95" s="8"/>
    </row>
    <row r="96" spans="1:12" ht="15.6" x14ac:dyDescent="0.3">
      <c r="A96" s="15" t="s">
        <v>79</v>
      </c>
      <c r="B96" s="8"/>
      <c r="C96" s="8"/>
      <c r="D96" s="20">
        <f>SUM(329.28+3000)</f>
        <v>3329.2799999999997</v>
      </c>
      <c r="E96" s="20"/>
      <c r="F96" s="20"/>
      <c r="G96" s="31"/>
      <c r="H96" s="8"/>
      <c r="I96" s="8"/>
      <c r="J96" s="8"/>
    </row>
    <row r="97" spans="1:14" ht="15.6" x14ac:dyDescent="0.3">
      <c r="A97" s="15" t="s">
        <v>68</v>
      </c>
      <c r="B97" s="8"/>
      <c r="C97" s="8"/>
      <c r="D97" s="20">
        <v>438.25</v>
      </c>
      <c r="E97" s="20"/>
      <c r="F97" s="20"/>
      <c r="G97" s="31"/>
      <c r="H97" s="8"/>
      <c r="I97" s="8"/>
      <c r="J97" s="8"/>
    </row>
    <row r="98" spans="1:14" ht="15.6" x14ac:dyDescent="0.3">
      <c r="A98" s="15" t="s">
        <v>44</v>
      </c>
      <c r="B98" s="8"/>
      <c r="C98" s="8"/>
      <c r="D98" s="20">
        <f>SUM(12837.7+4500)</f>
        <v>17337.7</v>
      </c>
      <c r="E98" s="20"/>
      <c r="F98" s="20"/>
      <c r="G98" s="31"/>
      <c r="H98" s="8"/>
      <c r="I98" s="8"/>
      <c r="J98" s="8"/>
    </row>
    <row r="99" spans="1:14" ht="15.6" x14ac:dyDescent="0.3">
      <c r="A99" s="15"/>
      <c r="B99" s="8"/>
      <c r="C99" s="8"/>
      <c r="D99" s="8"/>
      <c r="E99" s="20"/>
      <c r="F99" s="20"/>
      <c r="G99" s="31"/>
      <c r="H99" s="8"/>
      <c r="I99" s="8"/>
      <c r="J99" s="8"/>
    </row>
    <row r="100" spans="1:14" ht="16.2" thickBot="1" x14ac:dyDescent="0.35">
      <c r="A100" s="36" t="s">
        <v>5</v>
      </c>
      <c r="B100" s="26"/>
      <c r="C100" s="26"/>
      <c r="D100" s="27">
        <f>SUM(D90:D98)</f>
        <v>35246.720000000001</v>
      </c>
      <c r="E100" s="34"/>
      <c r="F100" s="34"/>
      <c r="G100" s="28"/>
      <c r="H100" s="8"/>
      <c r="I100" s="8"/>
      <c r="J100" s="8"/>
    </row>
    <row r="101" spans="1:14" ht="16.2" thickTop="1" x14ac:dyDescent="0.3">
      <c r="A101" s="8"/>
      <c r="B101" s="8"/>
      <c r="C101" s="8"/>
      <c r="D101" s="20"/>
      <c r="E101" s="20"/>
      <c r="F101" s="20"/>
      <c r="G101" s="8"/>
      <c r="H101" s="8"/>
      <c r="I101" s="8"/>
      <c r="J101" s="8"/>
    </row>
    <row r="102" spans="1:14" ht="16.2" thickBot="1" x14ac:dyDescent="0.35">
      <c r="A102" s="8"/>
      <c r="B102" s="32"/>
      <c r="C102" s="32"/>
      <c r="D102" s="8"/>
      <c r="E102" s="8"/>
      <c r="F102" s="8"/>
      <c r="G102" s="26"/>
      <c r="H102" s="8"/>
      <c r="I102" s="8"/>
      <c r="J102" s="8"/>
    </row>
    <row r="103" spans="1:14" ht="16.2" thickTop="1" x14ac:dyDescent="0.3">
      <c r="A103" s="30" t="s">
        <v>41</v>
      </c>
      <c r="B103" s="13"/>
      <c r="C103" s="13"/>
      <c r="D103" s="13"/>
      <c r="E103" s="13"/>
      <c r="F103" s="13"/>
      <c r="G103" s="14"/>
      <c r="H103" s="8"/>
      <c r="I103" s="8"/>
      <c r="J103" s="8"/>
    </row>
    <row r="104" spans="1:14" ht="15.6" x14ac:dyDescent="0.3">
      <c r="A104" s="39" t="s">
        <v>77</v>
      </c>
      <c r="B104" s="8"/>
      <c r="C104" s="8"/>
      <c r="D104" s="8"/>
      <c r="E104" s="8"/>
      <c r="F104" s="20"/>
      <c r="G104" s="31"/>
      <c r="H104" s="8"/>
      <c r="I104" s="8"/>
      <c r="J104" s="8"/>
    </row>
    <row r="105" spans="1:14" ht="15.6" x14ac:dyDescent="0.3">
      <c r="A105" s="15" t="s">
        <v>78</v>
      </c>
      <c r="B105" s="8"/>
      <c r="C105" s="8"/>
      <c r="D105" s="8"/>
      <c r="E105" s="8"/>
      <c r="F105" s="8"/>
      <c r="G105" s="31"/>
      <c r="H105" s="8"/>
      <c r="I105" s="8"/>
      <c r="J105" s="8"/>
    </row>
    <row r="106" spans="1:14" ht="15.6" x14ac:dyDescent="0.3">
      <c r="A106" s="15" t="s">
        <v>80</v>
      </c>
      <c r="B106" s="8"/>
      <c r="C106" s="8"/>
      <c r="D106" s="8"/>
      <c r="E106" s="8"/>
      <c r="F106" s="20"/>
      <c r="G106" s="31"/>
      <c r="H106" s="8"/>
      <c r="I106" s="8"/>
      <c r="J106" s="8"/>
    </row>
    <row r="107" spans="1:14" ht="16.2" thickBot="1" x14ac:dyDescent="0.35">
      <c r="A107" s="36"/>
      <c r="B107" s="26"/>
      <c r="C107" s="26"/>
      <c r="D107" s="26"/>
      <c r="E107" s="26"/>
      <c r="F107" s="26"/>
      <c r="G107" s="28"/>
      <c r="H107" s="8"/>
      <c r="I107" s="8"/>
      <c r="J107" s="8"/>
    </row>
    <row r="108" spans="1:14" ht="16.2" thickTop="1" x14ac:dyDescent="0.3">
      <c r="A108" s="8"/>
      <c r="B108" s="8"/>
      <c r="C108" s="8"/>
      <c r="D108" s="13"/>
      <c r="E108" s="8"/>
      <c r="F108" s="8"/>
      <c r="G108" s="8"/>
      <c r="H108" s="8"/>
      <c r="I108" s="8"/>
      <c r="J108" s="8"/>
    </row>
    <row r="109" spans="1:14" ht="16.2" thickBot="1" x14ac:dyDescent="0.3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4" ht="16.2" thickTop="1" x14ac:dyDescent="0.3">
      <c r="A110" s="40" t="s">
        <v>66</v>
      </c>
      <c r="B110" s="13"/>
      <c r="C110" s="13"/>
      <c r="D110" s="41">
        <f>C28</f>
        <v>59029.490000000005</v>
      </c>
      <c r="E110" s="14"/>
      <c r="F110" s="8"/>
      <c r="G110" s="8"/>
      <c r="H110" s="8"/>
      <c r="I110" s="20"/>
      <c r="J110" s="20"/>
      <c r="M110" s="1"/>
      <c r="N110" s="1"/>
    </row>
    <row r="111" spans="1:14" ht="15.6" x14ac:dyDescent="0.3">
      <c r="A111" s="15"/>
      <c r="B111" s="8"/>
      <c r="C111" s="20"/>
      <c r="D111" s="20"/>
      <c r="E111" s="31"/>
      <c r="F111" s="8"/>
      <c r="G111" s="8"/>
      <c r="H111" s="8"/>
      <c r="I111" s="20"/>
      <c r="J111" s="20"/>
      <c r="M111" s="1"/>
      <c r="N111" s="4"/>
    </row>
    <row r="112" spans="1:14" ht="15.6" x14ac:dyDescent="0.3">
      <c r="A112" s="15" t="s">
        <v>2</v>
      </c>
      <c r="B112" s="8"/>
      <c r="C112" s="20">
        <f>E65</f>
        <v>12497.150000000001</v>
      </c>
      <c r="D112" s="20"/>
      <c r="E112" s="31"/>
      <c r="F112" s="8"/>
      <c r="G112" s="8"/>
      <c r="H112" s="8"/>
      <c r="I112" s="20"/>
      <c r="J112" s="20"/>
      <c r="M112" s="2"/>
      <c r="N112" s="2"/>
    </row>
    <row r="113" spans="1:14" ht="15.6" x14ac:dyDescent="0.3">
      <c r="A113" s="15" t="s">
        <v>45</v>
      </c>
      <c r="B113" s="8"/>
      <c r="C113" s="20">
        <v>127.5</v>
      </c>
      <c r="D113" s="20"/>
      <c r="E113" s="31"/>
      <c r="F113" s="8"/>
      <c r="G113" s="8"/>
      <c r="H113" s="8"/>
      <c r="I113" s="20"/>
      <c r="J113" s="20"/>
      <c r="N113" s="2"/>
    </row>
    <row r="114" spans="1:14" ht="15.6" x14ac:dyDescent="0.3">
      <c r="A114" s="15" t="s">
        <v>23</v>
      </c>
      <c r="B114" s="8"/>
      <c r="C114" s="20">
        <v>33.17</v>
      </c>
      <c r="D114" s="20"/>
      <c r="E114" s="31"/>
      <c r="F114" s="8"/>
      <c r="G114" s="8"/>
      <c r="H114" s="8"/>
      <c r="I114" s="20"/>
      <c r="J114" s="20"/>
      <c r="M114" s="1"/>
      <c r="N114" s="1"/>
    </row>
    <row r="115" spans="1:14" ht="15.6" x14ac:dyDescent="0.3">
      <c r="A115" s="15" t="s">
        <v>81</v>
      </c>
      <c r="B115" s="8"/>
      <c r="C115" s="20">
        <v>-1900</v>
      </c>
      <c r="D115" s="20" t="s">
        <v>82</v>
      </c>
      <c r="E115" s="31"/>
      <c r="F115" s="8"/>
      <c r="G115" s="8"/>
      <c r="H115" s="8"/>
      <c r="I115" s="20"/>
      <c r="J115" s="20"/>
      <c r="M115" s="1"/>
      <c r="N115" s="1"/>
    </row>
    <row r="116" spans="1:14" ht="15.6" x14ac:dyDescent="0.3">
      <c r="A116" s="15" t="s">
        <v>60</v>
      </c>
      <c r="B116" s="8"/>
      <c r="C116" s="20">
        <v>612.07000000000005</v>
      </c>
      <c r="D116" s="20"/>
      <c r="E116" s="31"/>
      <c r="F116" s="8"/>
      <c r="G116" s="8"/>
      <c r="H116" s="8"/>
      <c r="I116" s="20"/>
      <c r="J116" s="20"/>
      <c r="M116" s="1"/>
      <c r="N116" s="1"/>
    </row>
    <row r="117" spans="1:14" ht="15.6" x14ac:dyDescent="0.3">
      <c r="A117" s="15" t="s">
        <v>38</v>
      </c>
      <c r="B117" s="8"/>
      <c r="C117" s="20">
        <f>-G10</f>
        <v>-1073.7099999999998</v>
      </c>
      <c r="D117" s="20"/>
      <c r="E117" s="31"/>
      <c r="F117" s="8"/>
      <c r="G117" s="8"/>
      <c r="H117" s="8"/>
      <c r="I117" s="20"/>
      <c r="J117" s="20"/>
      <c r="L117" s="3"/>
      <c r="M117" s="2"/>
      <c r="N117" s="2"/>
    </row>
    <row r="118" spans="1:14" ht="15.6" x14ac:dyDescent="0.3">
      <c r="A118" s="15" t="s">
        <v>39</v>
      </c>
      <c r="B118" s="8"/>
      <c r="C118" s="20">
        <f>D100</f>
        <v>35246.720000000001</v>
      </c>
      <c r="D118" s="8"/>
      <c r="E118" s="31"/>
      <c r="F118" s="8"/>
      <c r="G118" s="8"/>
      <c r="H118" s="8"/>
      <c r="I118" s="20"/>
      <c r="J118" s="20"/>
    </row>
    <row r="119" spans="1:14" ht="15.6" x14ac:dyDescent="0.3">
      <c r="A119" s="15" t="s">
        <v>70</v>
      </c>
      <c r="B119" s="8"/>
      <c r="C119" s="20">
        <v>9</v>
      </c>
      <c r="D119" s="8"/>
      <c r="E119" s="31"/>
      <c r="F119" s="8"/>
      <c r="G119" s="8"/>
      <c r="H119" s="8"/>
      <c r="I119" s="20"/>
      <c r="J119" s="20"/>
    </row>
    <row r="120" spans="1:14" ht="15.6" x14ac:dyDescent="0.3">
      <c r="A120" s="15" t="s">
        <v>73</v>
      </c>
      <c r="B120" s="8"/>
      <c r="C120" s="20">
        <v>324.13</v>
      </c>
      <c r="D120" s="8"/>
      <c r="E120" s="31"/>
      <c r="F120" s="8"/>
      <c r="G120" s="8"/>
      <c r="H120" s="8"/>
      <c r="I120" s="20"/>
      <c r="J120" s="20"/>
    </row>
    <row r="121" spans="1:14" ht="15.6" x14ac:dyDescent="0.3">
      <c r="A121" s="15" t="s">
        <v>71</v>
      </c>
      <c r="B121" s="8"/>
      <c r="C121" s="20">
        <f>SUM(-130.4+117.77)</f>
        <v>-12.63000000000001</v>
      </c>
      <c r="D121" s="8"/>
      <c r="E121" s="31"/>
      <c r="F121" s="8"/>
      <c r="G121" s="8"/>
      <c r="H121" s="8"/>
      <c r="I121" s="20"/>
      <c r="J121" s="20"/>
    </row>
    <row r="122" spans="1:14" ht="15.6" x14ac:dyDescent="0.3">
      <c r="A122" s="15" t="s">
        <v>86</v>
      </c>
      <c r="B122" s="8"/>
      <c r="C122" s="20">
        <v>7271.62</v>
      </c>
      <c r="D122" s="8"/>
      <c r="E122" s="31"/>
      <c r="F122" s="8"/>
      <c r="G122" s="8"/>
      <c r="H122" s="8"/>
      <c r="I122" s="20"/>
      <c r="J122" s="20"/>
    </row>
    <row r="123" spans="1:14" ht="15.6" x14ac:dyDescent="0.3">
      <c r="A123" s="15" t="s">
        <v>84</v>
      </c>
      <c r="B123" s="8"/>
      <c r="C123" s="20">
        <v>250</v>
      </c>
      <c r="D123" s="8"/>
      <c r="E123" s="31"/>
      <c r="F123" s="8"/>
      <c r="G123" s="8"/>
      <c r="H123" s="8"/>
      <c r="I123" s="20"/>
      <c r="J123" s="20"/>
    </row>
    <row r="124" spans="1:14" ht="15.6" x14ac:dyDescent="0.3">
      <c r="A124" s="15"/>
      <c r="B124" s="8"/>
      <c r="C124" s="20"/>
      <c r="D124" s="8"/>
      <c r="E124" s="31"/>
      <c r="F124" s="8"/>
      <c r="G124" s="8"/>
      <c r="H124" s="8"/>
      <c r="I124" s="20"/>
      <c r="J124" s="20"/>
    </row>
    <row r="125" spans="1:14" ht="15.6" x14ac:dyDescent="0.3">
      <c r="A125" s="15"/>
      <c r="B125" s="8"/>
      <c r="C125" s="20"/>
      <c r="D125" s="23">
        <f>SUM(C112:C123)</f>
        <v>53385.020000000004</v>
      </c>
      <c r="E125" s="31"/>
      <c r="F125" s="8"/>
      <c r="G125" s="8"/>
      <c r="H125" s="8"/>
      <c r="I125" s="20"/>
      <c r="J125" s="20"/>
    </row>
    <row r="126" spans="1:14" ht="16.2" thickBot="1" x14ac:dyDescent="0.35">
      <c r="A126" s="36"/>
      <c r="B126" s="26"/>
      <c r="C126" s="26"/>
      <c r="D126" s="46">
        <f>D110-D125</f>
        <v>5644.4700000000012</v>
      </c>
      <c r="E126" s="28"/>
      <c r="F126" s="8"/>
      <c r="G126" s="8"/>
      <c r="H126" s="8"/>
      <c r="I126" s="8"/>
      <c r="J126" s="8"/>
    </row>
    <row r="127" spans="1:14" ht="15" thickTop="1" x14ac:dyDescent="0.3"/>
  </sheetData>
  <pageMargins left="0.23622047244094491" right="0.23622047244094491" top="0.74803149606299213" bottom="0.74803149606299213" header="0.31496062992125984" footer="0.31496062992125984"/>
  <pageSetup paperSize="9" scale="58" fitToHeight="5" orientation="portrait" r:id="rId1"/>
  <ignoredErrors>
    <ignoredError sqref="I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Maggie Burt</cp:lastModifiedBy>
  <cp:lastPrinted>2023-09-04T09:10:56Z</cp:lastPrinted>
  <dcterms:created xsi:type="dcterms:W3CDTF">2020-01-02T10:04:52Z</dcterms:created>
  <dcterms:modified xsi:type="dcterms:W3CDTF">2023-12-15T11:26:38Z</dcterms:modified>
</cp:coreProperties>
</file>